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y/Downloads/"/>
    </mc:Choice>
  </mc:AlternateContent>
  <xr:revisionPtr revIDLastSave="0" documentId="13_ncr:1_{7345B198-A8C2-D945-BA6B-8D09D72C0E10}" xr6:coauthVersionLast="47" xr6:coauthVersionMax="47" xr10:uidLastSave="{00000000-0000-0000-0000-000000000000}"/>
  <bookViews>
    <workbookView xWindow="32860" yWindow="-1100" windowWidth="29500" windowHeight="18660" tabRatio="500" activeTab="5" xr2:uid="{00000000-000D-0000-FFFF-FFFF00000000}"/>
  </bookViews>
  <sheets>
    <sheet name="Cover" sheetId="1" r:id="rId1"/>
    <sheet name="Input Variables" sheetId="2" r:id="rId2"/>
    <sheet name="Calculated Variables" sheetId="3" r:id="rId3"/>
    <sheet name="Scenarios" sheetId="4" r:id="rId4"/>
    <sheet name="Sensitivity Table" sheetId="5" r:id="rId5"/>
    <sheet name="Dashboard" sheetId="6" r:id="rId6"/>
    <sheet name="Formula Guide" sheetId="7" r:id="rId7"/>
  </sheets>
  <definedNames>
    <definedName name="_xlchart.v1.0" hidden="1">Dashboard!$B$20:$B$22</definedName>
    <definedName name="_xlchart.v1.1" hidden="1">Dashboard!$C$19</definedName>
    <definedName name="_xlchart.v1.10" hidden="1">Dashboard!$C$19</definedName>
    <definedName name="_xlchart.v1.11" hidden="1">Dashboard!$C$20:$C$22</definedName>
    <definedName name="_xlchart.v1.12" hidden="1">Dashboard!$B$20:$B$22</definedName>
    <definedName name="_xlchart.v1.13" hidden="1">Dashboard!$C$19</definedName>
    <definedName name="_xlchart.v1.14" hidden="1">Dashboard!$C$20:$C$22</definedName>
    <definedName name="_xlchart.v1.15" hidden="1">Dashboard!$B$20:$B$22</definedName>
    <definedName name="_xlchart.v1.16" hidden="1">Dashboard!$C$19</definedName>
    <definedName name="_xlchart.v1.17" hidden="1">Dashboard!$C$20:$C$22</definedName>
    <definedName name="_xlchart.v1.2" hidden="1">Dashboard!$C$20:$C$22</definedName>
    <definedName name="_xlchart.v1.3" hidden="1">Dashboard!$B$20:$B$22</definedName>
    <definedName name="_xlchart.v1.4" hidden="1">Dashboard!$C$19</definedName>
    <definedName name="_xlchart.v1.5" hidden="1">Dashboard!$C$20:$C$22</definedName>
    <definedName name="_xlchart.v1.6" hidden="1">Dashboard!$B$20:$B$22</definedName>
    <definedName name="_xlchart.v1.7" hidden="1">Dashboard!$C$19</definedName>
    <definedName name="_xlchart.v1.8" hidden="1">Dashboard!$C$20:$C$22</definedName>
    <definedName name="_xlchart.v1.9" hidden="1">Dashboard!$B$20:$B$22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1" i="6" l="1"/>
  <c r="E37" i="4"/>
  <c r="E23" i="4"/>
  <c r="C6" i="5"/>
  <c r="E24" i="4"/>
  <c r="C29" i="6"/>
  <c r="E29" i="6" s="1"/>
  <c r="C28" i="6"/>
  <c r="E28" i="6" s="1"/>
  <c r="C16" i="6"/>
  <c r="C9" i="6"/>
  <c r="G5" i="6"/>
  <c r="M15" i="5"/>
  <c r="L15" i="5"/>
  <c r="K15" i="5"/>
  <c r="J15" i="5"/>
  <c r="I15" i="5"/>
  <c r="H15" i="5"/>
  <c r="G15" i="5"/>
  <c r="F15" i="5"/>
  <c r="E15" i="5"/>
  <c r="D15" i="5"/>
  <c r="C15" i="5"/>
  <c r="M14" i="5"/>
  <c r="L14" i="5"/>
  <c r="K14" i="5"/>
  <c r="J14" i="5"/>
  <c r="I14" i="5"/>
  <c r="H14" i="5"/>
  <c r="G14" i="5"/>
  <c r="F14" i="5"/>
  <c r="E14" i="5"/>
  <c r="D14" i="5"/>
  <c r="C14" i="5"/>
  <c r="M13" i="5"/>
  <c r="L13" i="5"/>
  <c r="K13" i="5"/>
  <c r="J13" i="5"/>
  <c r="I13" i="5"/>
  <c r="H13" i="5"/>
  <c r="G13" i="5"/>
  <c r="F13" i="5"/>
  <c r="E13" i="5"/>
  <c r="D13" i="5"/>
  <c r="C13" i="5"/>
  <c r="M12" i="5"/>
  <c r="L12" i="5"/>
  <c r="K12" i="5"/>
  <c r="J12" i="5"/>
  <c r="I12" i="5"/>
  <c r="H12" i="5"/>
  <c r="G12" i="5"/>
  <c r="F12" i="5"/>
  <c r="E12" i="5"/>
  <c r="D12" i="5"/>
  <c r="C12" i="5"/>
  <c r="M11" i="5"/>
  <c r="L11" i="5"/>
  <c r="K11" i="5"/>
  <c r="J11" i="5"/>
  <c r="I11" i="5"/>
  <c r="H11" i="5"/>
  <c r="G11" i="5"/>
  <c r="F11" i="5"/>
  <c r="E11" i="5"/>
  <c r="D11" i="5"/>
  <c r="C11" i="5"/>
  <c r="M10" i="5"/>
  <c r="L10" i="5"/>
  <c r="K10" i="5"/>
  <c r="J10" i="5"/>
  <c r="I10" i="5"/>
  <c r="H10" i="5"/>
  <c r="G10" i="5"/>
  <c r="F10" i="5"/>
  <c r="E10" i="5"/>
  <c r="D10" i="5"/>
  <c r="C10" i="5"/>
  <c r="M9" i="5"/>
  <c r="L9" i="5"/>
  <c r="K9" i="5"/>
  <c r="J9" i="5"/>
  <c r="I9" i="5"/>
  <c r="H9" i="5"/>
  <c r="G9" i="5"/>
  <c r="F9" i="5"/>
  <c r="E9" i="5"/>
  <c r="D9" i="5"/>
  <c r="C9" i="5"/>
  <c r="M8" i="5"/>
  <c r="L8" i="5"/>
  <c r="K8" i="5"/>
  <c r="J8" i="5"/>
  <c r="I8" i="5"/>
  <c r="H8" i="5"/>
  <c r="G8" i="5"/>
  <c r="F8" i="5"/>
  <c r="E8" i="5"/>
  <c r="D8" i="5"/>
  <c r="C8" i="5"/>
  <c r="M7" i="5"/>
  <c r="L7" i="5"/>
  <c r="K7" i="5"/>
  <c r="J7" i="5"/>
  <c r="I7" i="5"/>
  <c r="H7" i="5"/>
  <c r="G7" i="5"/>
  <c r="F7" i="5"/>
  <c r="E7" i="5"/>
  <c r="D7" i="5"/>
  <c r="C7" i="5"/>
  <c r="M6" i="5"/>
  <c r="L6" i="5"/>
  <c r="K6" i="5"/>
  <c r="J6" i="5"/>
  <c r="I6" i="5"/>
  <c r="H6" i="5"/>
  <c r="G6" i="5"/>
  <c r="F6" i="5"/>
  <c r="E6" i="5"/>
  <c r="D6" i="5"/>
  <c r="C42" i="4"/>
  <c r="E42" i="4" s="1"/>
  <c r="C41" i="4"/>
  <c r="E41" i="4" s="1"/>
  <c r="C40" i="4"/>
  <c r="E40" i="4" s="1"/>
  <c r="E39" i="4"/>
  <c r="C39" i="4"/>
  <c r="C38" i="4"/>
  <c r="E38" i="4" s="1"/>
  <c r="C37" i="4"/>
  <c r="C36" i="4"/>
  <c r="E36" i="4" s="1"/>
  <c r="C35" i="4"/>
  <c r="E35" i="4" s="1"/>
  <c r="E43" i="4" s="1"/>
  <c r="E45" i="4" s="1"/>
  <c r="C28" i="4"/>
  <c r="E28" i="4" s="1"/>
  <c r="C27" i="4"/>
  <c r="E27" i="4" s="1"/>
  <c r="C26" i="4"/>
  <c r="E26" i="4" s="1"/>
  <c r="C25" i="4"/>
  <c r="E25" i="4" s="1"/>
  <c r="C24" i="4"/>
  <c r="C23" i="4"/>
  <c r="C22" i="4"/>
  <c r="E22" i="4" s="1"/>
  <c r="C21" i="4"/>
  <c r="E21" i="4" s="1"/>
  <c r="E29" i="4" s="1"/>
  <c r="E31" i="4" s="1"/>
  <c r="E14" i="4"/>
  <c r="C14" i="4"/>
  <c r="E13" i="4"/>
  <c r="C13" i="4"/>
  <c r="E12" i="4"/>
  <c r="C12" i="4"/>
  <c r="E11" i="4"/>
  <c r="C11" i="4"/>
  <c r="E10" i="4"/>
  <c r="C10" i="4"/>
  <c r="E9" i="4"/>
  <c r="C9" i="4"/>
  <c r="E8" i="4"/>
  <c r="C8" i="4"/>
  <c r="E7" i="4"/>
  <c r="E15" i="4" s="1"/>
  <c r="E17" i="4" s="1"/>
  <c r="C7" i="4"/>
  <c r="E21" i="3"/>
  <c r="D21" i="3"/>
  <c r="E20" i="3"/>
  <c r="D20" i="3"/>
  <c r="E15" i="3"/>
  <c r="E14" i="3"/>
  <c r="E24" i="3" s="1"/>
  <c r="E8" i="3"/>
  <c r="E9" i="3" s="1"/>
  <c r="E6" i="3"/>
  <c r="E12" i="3" s="1"/>
  <c r="E13" i="3" s="1"/>
  <c r="E10" i="3" l="1"/>
  <c r="E11" i="3" s="1"/>
  <c r="E7" i="6" s="1"/>
  <c r="D24" i="3"/>
  <c r="E16" i="3"/>
  <c r="E44" i="4"/>
  <c r="E16" i="4"/>
  <c r="E30" i="4"/>
  <c r="E23" i="3"/>
  <c r="D23" i="3"/>
  <c r="E9" i="6"/>
  <c r="E19" i="3"/>
  <c r="D19" i="3"/>
  <c r="C27" i="6"/>
  <c r="E27" i="6" s="1"/>
  <c r="G7" i="6"/>
  <c r="C5" i="6"/>
  <c r="G9" i="6"/>
  <c r="C15" i="6"/>
  <c r="E7" i="3"/>
  <c r="C13" i="6"/>
  <c r="E22" i="3" l="1"/>
  <c r="D22" i="3"/>
  <c r="C30" i="6"/>
  <c r="E30" i="6" s="1"/>
  <c r="D22" i="6"/>
  <c r="C7" i="6"/>
  <c r="D21" i="6"/>
  <c r="D20" i="6"/>
  <c r="C14" i="6"/>
  <c r="C22" i="6"/>
  <c r="E5" i="6"/>
  <c r="C20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6" authorId="0" shapeId="0" xr:uid="{00000000-0006-0000-0100-000001000000}">
      <text>
        <r>
          <rPr>
            <sz val="11"/>
            <color rgb="FF000000"/>
            <rFont val="Calibri"/>
            <family val="2"/>
            <charset val="1"/>
          </rPr>
          <t>Change subscription price ($29-$499). Affects MRR, ARR, LTV directly.</t>
        </r>
      </text>
    </comment>
    <comment ref="E7" authorId="0" shapeId="0" xr:uid="{00000000-0006-0000-0100-000002000000}">
      <text>
        <r>
          <rPr>
            <sz val="11"/>
            <color rgb="FF000000"/>
            <rFont val="Calibri"/>
            <family val="2"/>
            <charset val="1"/>
          </rPr>
          <t>Change subscriber count (1,000-100,000). Direct multiplier on revenue.</t>
        </r>
      </text>
    </comment>
    <comment ref="E8" authorId="0" shapeId="0" xr:uid="{00000000-0006-0000-0100-000003000000}">
      <text>
        <r>
          <rPr>
            <sz val="11"/>
            <color rgb="FF000000"/>
            <rFont val="Calibri"/>
            <family val="2"/>
            <charset val="1"/>
          </rPr>
          <t>Change YoY growth rate (-50% to +300%). Drives ARR expansion.</t>
        </r>
      </text>
    </comment>
    <comment ref="E9" authorId="0" shapeId="0" xr:uid="{00000000-0006-0000-0100-000004000000}">
      <text>
        <r>
          <rPr>
            <sz val="11"/>
            <color rgb="FF000000"/>
            <rFont val="Calibri"/>
            <family val="2"/>
            <charset val="1"/>
          </rPr>
          <t>Change monthly churn (1%-50%). Critical driver of LTV and NRR.</t>
        </r>
      </text>
    </comment>
    <comment ref="E10" authorId="0" shapeId="0" xr:uid="{00000000-0006-0000-0100-000005000000}">
      <text>
        <r>
          <rPr>
            <sz val="11"/>
            <color rgb="FF000000"/>
            <rFont val="Calibri"/>
            <family val="2"/>
            <charset val="1"/>
          </rPr>
          <t>Change monthly new acquisitions (100-10,000). Affects payback and magic number.</t>
        </r>
      </text>
    </comment>
    <comment ref="E11" authorId="0" shapeId="0" xr:uid="{00000000-0006-0000-0100-000006000000}">
      <text>
        <r>
          <rPr>
            <sz val="11"/>
            <color rgb="FF000000"/>
            <rFont val="Calibri"/>
            <family val="2"/>
            <charset val="1"/>
          </rPr>
          <t>Change CAC ($50-$2,000). Affects LTV:CAC ratio and unit economics.</t>
        </r>
      </text>
    </comment>
    <comment ref="E12" authorId="0" shapeId="0" xr:uid="{00000000-0006-0000-0100-000007000000}">
      <text>
        <r>
          <rPr>
            <sz val="11"/>
            <color rgb="FF000000"/>
            <rFont val="Calibri"/>
            <family val="2"/>
            <charset val="1"/>
          </rPr>
          <t>Change gross margin (30%-95%). Affects EBITDA and profitability.</t>
        </r>
      </text>
    </comment>
    <comment ref="E13" authorId="0" shapeId="0" xr:uid="{00000000-0006-0000-0100-000008000000}">
      <text>
        <r>
          <rPr>
            <sz val="11"/>
            <color rgb="FF000000"/>
            <rFont val="Calibri"/>
            <family val="2"/>
            <charset val="1"/>
          </rPr>
          <t>Change OpEx ($100K-$5M). Affects EBITDA and cash runway.</t>
        </r>
      </text>
    </comment>
    <comment ref="E14" authorId="0" shapeId="0" xr:uid="{00000000-0006-0000-0100-000009000000}">
      <text>
        <r>
          <rPr>
            <sz val="11"/>
            <color rgb="FF000000"/>
            <rFont val="Calibri"/>
            <family val="2"/>
            <charset val="1"/>
          </rPr>
          <t>Change cash balance ($0-$50M). Affects runway calculation.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6" authorId="0" shapeId="0" xr:uid="{00000000-0006-0000-0200-000001000000}">
      <text>
        <r>
          <rPr>
            <sz val="11"/>
            <color rgb="FF000000"/>
            <rFont val="Calibri"/>
            <family val="2"/>
            <charset val="1"/>
          </rPr>
          <t xml:space="preserve">MRR = Monthly Subscription Price </t>
        </r>
        <r>
          <rPr>
            <sz val="11"/>
            <color rgb="FF000000"/>
            <rFont val="Calibri"/>
            <family val="2"/>
            <charset val="1"/>
          </rPr>
          <t>×</t>
        </r>
        <r>
          <rPr>
            <sz val="11"/>
            <color rgb="FF000000"/>
            <rFont val="Calibri"/>
            <family val="2"/>
            <charset val="1"/>
          </rPr>
          <t xml:space="preserve"> Active Subscribers. Foundation of all revenue calculations.</t>
        </r>
      </text>
    </comment>
    <comment ref="E7" authorId="0" shapeId="0" xr:uid="{00000000-0006-0000-0200-000002000000}">
      <text>
        <r>
          <rPr>
            <sz val="11"/>
            <color rgb="FF000000"/>
            <rFont val="Calibri"/>
            <family val="2"/>
            <charset val="1"/>
          </rPr>
          <t xml:space="preserve">ARR = MRR </t>
        </r>
        <r>
          <rPr>
            <sz val="11"/>
            <color rgb="FF000000"/>
            <rFont val="Calibri"/>
            <family val="2"/>
            <charset val="1"/>
          </rPr>
          <t>×</t>
        </r>
        <r>
          <rPr>
            <sz val="11"/>
            <color rgb="FF000000"/>
            <rFont val="Calibri"/>
            <family val="2"/>
            <charset val="1"/>
          </rPr>
          <t xml:space="preserve"> 12. Annualized recurring revenue run rate used for valuation multiples.</t>
        </r>
      </text>
    </comment>
    <comment ref="E8" authorId="0" shapeId="0" xr:uid="{00000000-0006-0000-0200-000003000000}">
      <text>
        <r>
          <rPr>
            <sz val="11"/>
            <color rgb="FF000000"/>
            <rFont val="Calibri"/>
            <family val="2"/>
            <charset val="1"/>
          </rPr>
          <t xml:space="preserve">LTV = (Price </t>
        </r>
        <r>
          <rPr>
            <sz val="11"/>
            <color rgb="FF000000"/>
            <rFont val="Calibri"/>
            <family val="2"/>
            <charset val="1"/>
          </rPr>
          <t>×</t>
        </r>
        <r>
          <rPr>
            <sz val="11"/>
            <color rgb="FF000000"/>
            <rFont val="Calibri"/>
            <family val="2"/>
            <charset val="1"/>
          </rPr>
          <t xml:space="preserve"> Gross Margin) / Churn Rate. Higher margin and lower churn = higher LTV.</t>
        </r>
      </text>
    </comment>
    <comment ref="E9" authorId="0" shapeId="0" xr:uid="{00000000-0006-0000-0200-000004000000}">
      <text>
        <r>
          <rPr>
            <sz val="11"/>
            <color rgb="FF000000"/>
            <rFont val="Calibri"/>
            <family val="2"/>
            <charset val="1"/>
          </rPr>
          <t>LTV:CAC = LTV / CAC. Rule of thumb: &gt;3x is healthy, &lt;2x is concerning.</t>
        </r>
      </text>
    </comment>
    <comment ref="E10" authorId="0" shapeId="0" xr:uid="{00000000-0006-0000-0200-000005000000}">
      <text>
        <r>
          <rPr>
            <sz val="11"/>
            <color rgb="FF000000"/>
            <rFont val="Calibri"/>
            <family val="2"/>
            <charset val="1"/>
          </rPr>
          <t xml:space="preserve">EBITDA = MRR </t>
        </r>
        <r>
          <rPr>
            <sz val="11"/>
            <color rgb="FF000000"/>
            <rFont val="Calibri"/>
            <family val="2"/>
            <charset val="1"/>
          </rPr>
          <t>×</t>
        </r>
        <r>
          <rPr>
            <sz val="11"/>
            <color rgb="FF000000"/>
            <rFont val="Calibri"/>
            <family val="2"/>
            <charset val="1"/>
          </rPr>
          <t xml:space="preserve"> Gross Margin - OpEx. Core profitability metric.</t>
        </r>
      </text>
    </comment>
    <comment ref="E11" authorId="0" shapeId="0" xr:uid="{00000000-0006-0000-0200-000006000000}">
      <text>
        <r>
          <rPr>
            <sz val="11"/>
            <color rgb="FF000000"/>
            <rFont val="Calibri"/>
            <family val="2"/>
            <charset val="1"/>
          </rPr>
          <t>EBITDA Margin = EBITDA / MRR. Percentage of revenue converted to profit.</t>
        </r>
      </text>
    </comment>
    <comment ref="E12" authorId="0" shapeId="0" xr:uid="{00000000-0006-0000-0200-000007000000}">
      <text>
        <r>
          <rPr>
            <sz val="11"/>
            <color rgb="FF000000"/>
            <rFont val="Calibri"/>
            <family val="2"/>
            <charset val="1"/>
          </rPr>
          <t xml:space="preserve">Cash Burn = OpEx - (MRR </t>
        </r>
        <r>
          <rPr>
            <sz val="11"/>
            <color rgb="FF000000"/>
            <rFont val="Calibri"/>
            <family val="2"/>
            <charset val="1"/>
          </rPr>
          <t>×</t>
        </r>
        <r>
          <rPr>
            <sz val="11"/>
            <color rgb="FF000000"/>
            <rFont val="Calibri"/>
            <family val="2"/>
            <charset val="1"/>
          </rPr>
          <t xml:space="preserve"> Gross Margin). Negative means profitable, positive means burning.</t>
        </r>
      </text>
    </comment>
    <comment ref="E13" authorId="0" shapeId="0" xr:uid="{00000000-0006-0000-0200-000008000000}">
      <text>
        <r>
          <rPr>
            <sz val="11"/>
            <color rgb="FF000000"/>
            <rFont val="Calibri"/>
            <family val="2"/>
            <charset val="1"/>
          </rPr>
          <t>Runway = Cash Balance / |Cash Burn|. Months until cash runs out. 999 if already profitable.</t>
        </r>
      </text>
    </comment>
    <comment ref="E14" authorId="0" shapeId="0" xr:uid="{00000000-0006-0000-0200-000009000000}">
      <text>
        <r>
          <rPr>
            <sz val="11"/>
            <color rgb="FF000000"/>
            <rFont val="Calibri"/>
            <family val="2"/>
            <charset val="1"/>
          </rPr>
          <t xml:space="preserve">NRR = 1 + Growth Rate - (Churn </t>
        </r>
        <r>
          <rPr>
            <sz val="11"/>
            <color rgb="FF000000"/>
            <rFont val="Calibri"/>
            <family val="2"/>
            <charset val="1"/>
          </rPr>
          <t>×</t>
        </r>
        <r>
          <rPr>
            <sz val="11"/>
            <color rgb="FF000000"/>
            <rFont val="Calibri"/>
            <family val="2"/>
            <charset val="1"/>
          </rPr>
          <t xml:space="preserve"> 12). &gt;100% means existing customers expand revenue.</t>
        </r>
      </text>
    </comment>
    <comment ref="E15" authorId="0" shapeId="0" xr:uid="{00000000-0006-0000-0200-00000A000000}">
      <text>
        <r>
          <rPr>
            <sz val="11"/>
            <color rgb="FF000000"/>
            <rFont val="Calibri"/>
            <family val="2"/>
            <charset val="1"/>
          </rPr>
          <t xml:space="preserve">Payback = CAC / (Price </t>
        </r>
        <r>
          <rPr>
            <sz val="11"/>
            <color rgb="FF000000"/>
            <rFont val="Calibri"/>
            <family val="2"/>
            <charset val="1"/>
          </rPr>
          <t>×</t>
        </r>
        <r>
          <rPr>
            <sz val="11"/>
            <color rgb="FF000000"/>
            <rFont val="Calibri"/>
            <family val="2"/>
            <charset val="1"/>
          </rPr>
          <t xml:space="preserve"> Gross Margin). Months to recover acquisition cost.</t>
        </r>
      </text>
    </comment>
    <comment ref="E16" authorId="0" shapeId="0" xr:uid="{00000000-0006-0000-0200-00000B000000}">
      <text>
        <r>
          <rPr>
            <sz val="11"/>
            <color rgb="FF000000"/>
            <rFont val="Calibri"/>
            <family val="2"/>
            <charset val="1"/>
          </rPr>
          <t>Magic Number = Net New ARR / Prior Qtr S&amp;M. &gt;0.75 means efficient growth.</t>
        </r>
      </text>
    </comment>
  </commentList>
</comments>
</file>

<file path=xl/sharedStrings.xml><?xml version="1.0" encoding="utf-8"?>
<sst xmlns="http://schemas.openxmlformats.org/spreadsheetml/2006/main" count="384" uniqueCount="236">
  <si>
    <t>FinSensitive Pro</t>
  </si>
  <si>
    <t>Financial Sensitivity Analysis Model</t>
  </si>
  <si>
    <t>SaaS Revenue Model 2024 — Series B Company</t>
  </si>
  <si>
    <t>KEY METRICS OVERVIEW</t>
  </si>
  <si>
    <t>Monthly Recurring Revenue (MRR)</t>
  </si>
  <si>
    <t>$1,485,000</t>
  </si>
  <si>
    <t>Price × Subscribers</t>
  </si>
  <si>
    <t>Annual Recurring Revenue (ARR)</t>
  </si>
  <si>
    <t>$17,820,000</t>
  </si>
  <si>
    <t>MRR × 12</t>
  </si>
  <si>
    <t>EBITDA</t>
  </si>
  <si>
    <t>$338,000</t>
  </si>
  <si>
    <t>MRR × Gross Margin - OpEx</t>
  </si>
  <si>
    <t>LTV:CAC Ratio</t>
  </si>
  <si>
    <t>3.52x</t>
  </si>
  <si>
    <t>LTV / CAC</t>
  </si>
  <si>
    <t>Cash Runway</t>
  </si>
  <si>
    <t>18 months</t>
  </si>
  <si>
    <t>Cash / Burn Rate</t>
  </si>
  <si>
    <t>Net Revenue Retention</t>
  </si>
  <si>
    <t>115%</t>
  </si>
  <si>
    <t>1 + Growth - Churn × 12</t>
  </si>
  <si>
    <t>WORKBOOK CONTENTS</t>
  </si>
  <si>
    <t>Sheet</t>
  </si>
  <si>
    <t>Description</t>
  </si>
  <si>
    <t>Input Variables</t>
  </si>
  <si>
    <t>Editable assumptions — change blue cells to update the model</t>
  </si>
  <si>
    <t>Calculated Variables</t>
  </si>
  <si>
    <t>Formula-driven outputs — automatically recalculate</t>
  </si>
  <si>
    <t>Scenarios</t>
  </si>
  <si>
    <t>Base Case, Conservative, Aggressive — compare what-if scenarios</t>
  </si>
  <si>
    <t>Sensitivity Table</t>
  </si>
  <si>
    <t>Two-way data table — see how pairs of variables interact</t>
  </si>
  <si>
    <t>Dashboard</t>
  </si>
  <si>
    <t>KPI summary with charts and visual indicators</t>
  </si>
  <si>
    <t>Formula Guide</t>
  </si>
  <si>
    <t>Complete formula documentation and explanations</t>
  </si>
  <si>
    <t>HOW TO USE</t>
  </si>
  <si>
    <t>1. Go to 'Input Variables' sheet and change any blue-colored cell</t>
  </si>
  <si>
    <t>2. All calculated values across all sheets will update automatically</t>
  </si>
  <si>
    <t>3. Try different scenarios in the 'Scenarios' sheet</t>
  </si>
  <si>
    <t>4. Review the 'Formula Guide' for detailed formula explanations</t>
  </si>
  <si>
    <t>5. Blue font = input values | Black font = formulas | Green font = cross-sheet refs</t>
  </si>
  <si>
    <t>INPUT VARIABLES</t>
  </si>
  <si>
    <t>Change any blue-highlighted value to update the entire model</t>
  </si>
  <si>
    <t>Variable Name</t>
  </si>
  <si>
    <t>Category</t>
  </si>
  <si>
    <t>Base Value</t>
  </si>
  <si>
    <t>Current Value</t>
  </si>
  <si>
    <t>Min</t>
  </si>
  <si>
    <t>Max</t>
  </si>
  <si>
    <t>Monthly Subscription Price</t>
  </si>
  <si>
    <t>Revenue</t>
  </si>
  <si>
    <t>Average revenue per user per month</t>
  </si>
  <si>
    <t>Active Subscribers</t>
  </si>
  <si>
    <t>Total paying customers</t>
  </si>
  <si>
    <t>Revenue Growth Rate</t>
  </si>
  <si>
    <t>Year-over-year revenue growth</t>
  </si>
  <si>
    <t>Monthly Churn Rate</t>
  </si>
  <si>
    <t>Percentage of customers lost per month</t>
  </si>
  <si>
    <t>New Customer Acquisitions</t>
  </si>
  <si>
    <t>New customers acquired per month</t>
  </si>
  <si>
    <t>Customer Acquisition Cost (CAC)</t>
  </si>
  <si>
    <t>Cost</t>
  </si>
  <si>
    <t>Average cost to acquire a new customer</t>
  </si>
  <si>
    <t>Gross Margin</t>
  </si>
  <si>
    <t>Percentage of revenue retained after COGS</t>
  </si>
  <si>
    <t>Monthly Operating Expenses</t>
  </si>
  <si>
    <t>Total monthly operating costs</t>
  </si>
  <si>
    <t>Cash Balance</t>
  </si>
  <si>
    <t>Balance</t>
  </si>
  <si>
    <t>Current cash on hand</t>
  </si>
  <si>
    <t>NOTE: Edit the CURRENT VALUE column (column E, blue cells) to change assumptions. All calculated sheets update automatically.</t>
  </si>
  <si>
    <t>CALCULATED VARIABLES &amp; OUTPUTS</t>
  </si>
  <si>
    <t>All values are formula-driven — they update when you change input variables</t>
  </si>
  <si>
    <t>Formula</t>
  </si>
  <si>
    <t>Unit</t>
  </si>
  <si>
    <t>Price × Active Subscribers</t>
  </si>
  <si>
    <t>$</t>
  </si>
  <si>
    <t>MRR × 12 months</t>
  </si>
  <si>
    <t>Customer Lifetime Value (LTV)</t>
  </si>
  <si>
    <t>Outputs</t>
  </si>
  <si>
    <t>ARPU × Gross Margin / Churn Rate</t>
  </si>
  <si>
    <t>LTV / Customer Acquisition Cost</t>
  </si>
  <si>
    <t>x</t>
  </si>
  <si>
    <t>EBITDA Margin</t>
  </si>
  <si>
    <t>EBITDA / MRR</t>
  </si>
  <si>
    <t>%</t>
  </si>
  <si>
    <t>Monthly Cash Burn</t>
  </si>
  <si>
    <t>OpEx - MRR × Gross Margin</t>
  </si>
  <si>
    <t>Cash Balance / |Cash Burn|</t>
  </si>
  <si>
    <t>months</t>
  </si>
  <si>
    <t>1 + Growth Rate - Churn × 12</t>
  </si>
  <si>
    <t>CAC Payback Period</t>
  </si>
  <si>
    <t>CAC / (Price × Gross Margin)</t>
  </si>
  <si>
    <t>SaaS Magic Number</t>
  </si>
  <si>
    <t>Net New ARR / Prior Quarter S&amp;M</t>
  </si>
  <si>
    <t>UNIT ECONOMICS HEALTH CHECK</t>
  </si>
  <si>
    <t>LTV:CAC Ratio &gt;= 3.0x?</t>
  </si>
  <si>
    <t>Gross Margin &gt;= 70%?</t>
  </si>
  <si>
    <t>Monthly Churn &lt;= 5%?</t>
  </si>
  <si>
    <t>EBITDA Positive?</t>
  </si>
  <si>
    <t>Cash Runway &gt;= 12 months?</t>
  </si>
  <si>
    <t>NRR &gt;= 100%?</t>
  </si>
  <si>
    <t>SCENARIO ANALYSIS</t>
  </si>
  <si>
    <t>Compare Base Case vs Conservative vs Aggressive Growth scenarios</t>
  </si>
  <si>
    <t>SCENARIO 1: BASE CASE (Current Projections)</t>
  </si>
  <si>
    <t>Variable</t>
  </si>
  <si>
    <t>Override</t>
  </si>
  <si>
    <t>Effective Value</t>
  </si>
  <si>
    <t>Subscription Price</t>
  </si>
  <si>
    <t>—</t>
  </si>
  <si>
    <t>Current value</t>
  </si>
  <si>
    <t>Revenue Growth</t>
  </si>
  <si>
    <t>Churn Rate</t>
  </si>
  <si>
    <t>New Customers</t>
  </si>
  <si>
    <t>CAC</t>
  </si>
  <si>
    <t>OpEx</t>
  </si>
  <si>
    <t>OUTPUT: MRR</t>
  </si>
  <si>
    <t>OUTPUT: ARR</t>
  </si>
  <si>
    <t>OUTPUT: EBITDA</t>
  </si>
  <si>
    <t>SCENARIO 2: CONSERVATIVE (Reduced Growth, Higher Churn)</t>
  </si>
  <si>
    <t>No change</t>
  </si>
  <si>
    <t>Override applied</t>
  </si>
  <si>
    <t>SCENARIO 3: AGGRESSIVE GROWTH (Accelerated Expansion)</t>
  </si>
  <si>
    <t>TWO-WAY SENSITIVITY ANALYSIS</t>
  </si>
  <si>
    <t>EBITDA sensitivity to Revenue Growth Rate (columns) and Churn Rate (rows)</t>
  </si>
  <si>
    <t>Churn \ Growth</t>
  </si>
  <si>
    <t>INTERPRETATION: Green = high EBITDA, Red = low/negative EBITDA. Diagonal patterns reveal correlation between growth and churn.</t>
  </si>
  <si>
    <t>METHODOLOGY</t>
  </si>
  <si>
    <t>This two-way table calculates EBITDA for each combination of Revenue Growth Rate (columns) and Churn Rate (rows). The formula is: EBITDA = (Price × Subscribers × (1 + Growth - Churn×12) × Gross Margin) - OpEx. Change Input Variables to see the entire table update.</t>
  </si>
  <si>
    <t>EXECUTIVE DASHBOARD</t>
  </si>
  <si>
    <t>Real-time financial KPIs — all values linked to Input Variables</t>
  </si>
  <si>
    <t>Monthly Recurring Revenue</t>
  </si>
  <si>
    <t>Annual Recurring Revenue</t>
  </si>
  <si>
    <t>Monthly Churn</t>
  </si>
  <si>
    <t>REVENUE BREAKDOWN</t>
  </si>
  <si>
    <t>Metric</t>
  </si>
  <si>
    <t>Value</t>
  </si>
  <si>
    <t>MRR</t>
  </si>
  <si>
    <t>ARR</t>
  </si>
  <si>
    <t>LTV</t>
  </si>
  <si>
    <t>SCENARIO COMPARISON</t>
  </si>
  <si>
    <t>Scenario</t>
  </si>
  <si>
    <t>Base Case</t>
  </si>
  <si>
    <t>Conservative</t>
  </si>
  <si>
    <t>Aggressive</t>
  </si>
  <si>
    <t>HEALTH INDICATORS</t>
  </si>
  <si>
    <t>Indicator</t>
  </si>
  <si>
    <t>Current</t>
  </si>
  <si>
    <t>Target</t>
  </si>
  <si>
    <t>Status</t>
  </si>
  <si>
    <t>&gt;=3</t>
  </si>
  <si>
    <t>&gt;=0.7</t>
  </si>
  <si>
    <t>&lt;=0.05</t>
  </si>
  <si>
    <t>&gt;0</t>
  </si>
  <si>
    <t>FORMULA GUIDE &amp; DOCUMENTATION</t>
  </si>
  <si>
    <t>Complete reference for all formulas used in this financial model</t>
  </si>
  <si>
    <t>COLOR LEGEND</t>
  </si>
  <si>
    <t>Blue font</t>
  </si>
  <si>
    <t>Input values (editable assumptions)</t>
  </si>
  <si>
    <t>Black font</t>
  </si>
  <si>
    <t>Formula calculations (auto-computed)</t>
  </si>
  <si>
    <t>Red font</t>
  </si>
  <si>
    <t>Override values in scenarios</t>
  </si>
  <si>
    <t>Green font</t>
  </si>
  <si>
    <t>Cross-sheet references</t>
  </si>
  <si>
    <t>Excel Formula</t>
  </si>
  <si>
    <t>Explanation</t>
  </si>
  <si>
    <t>Depends On</t>
  </si>
  <si>
    <t>'=Input Variables!E6 * Input Variables!E7</t>
  </si>
  <si>
    <t>Monthly Recurring Revenue = Subscription Price × Number of Active Subscribers. This is the foundational revenue metric for SaaS businesses.</t>
  </si>
  <si>
    <t>Price, Subscribers</t>
  </si>
  <si>
    <t>'=MRR * 12</t>
  </si>
  <si>
    <t>Annual Recurring Revenue = MRR multiplied by 12 months. Used for valuation multiples and investor reporting.</t>
  </si>
  <si>
    <t>'=(Price × Gross Margin) / Churn Rate</t>
  </si>
  <si>
    <t>Customer Lifetime Value. Represents total revenue expected from a customer. Higher gross margin and lower churn increase LTV.</t>
  </si>
  <si>
    <t>Price, Gross Margin, Churn</t>
  </si>
  <si>
    <t>LTV:CAC</t>
  </si>
  <si>
    <t>'=LTV / CAC</t>
  </si>
  <si>
    <t>Ratio of Customer Lifetime Value to Customer Acquisition Cost. &gt;3x is considered healthy for SaaS. &lt;2x indicates unsustainable unit economics.</t>
  </si>
  <si>
    <t>LTV, CAC</t>
  </si>
  <si>
    <t>'=MRR × Gross Margin - OpEx</t>
  </si>
  <si>
    <t>Earnings Before Interest, Taxes, Depreciation and Amortization. Core profitability metric showing cash-generating ability.</t>
  </si>
  <si>
    <t>MRR, Gross Margin, OpEx</t>
  </si>
  <si>
    <t>'=EBITDA / MRR</t>
  </si>
  <si>
    <t>Percentage of MRR converted to EBITDA. Higher is better. 20-30% is typical for mature SaaS.</t>
  </si>
  <si>
    <t>EBITDA, MRR</t>
  </si>
  <si>
    <t>Cash Burn</t>
  </si>
  <si>
    <t>'=OpEx - (MRR × Gross Margin)</t>
  </si>
  <si>
    <t>Net cash consumed per month. Negative = profitable (generating cash). Positive = burning cash.</t>
  </si>
  <si>
    <t>OpEx, MRR, Gross Margin</t>
  </si>
  <si>
    <t>'=Cash Balance / |Cash Burn|</t>
  </si>
  <si>
    <t>Months of cash remaining. If profitable (burn &lt; 0), shown as 999 (infinite runway). Critical for fundraising timing.</t>
  </si>
  <si>
    <t>Cash, Burn Rate</t>
  </si>
  <si>
    <t>NRR</t>
  </si>
  <si>
    <t>'=1 + Growth Rate - (Churn × 12)</t>
  </si>
  <si>
    <t>Net Revenue Retention. &gt;100% means existing customers expand/spend more. &lt;100% means contraction. Best-in-class is 120%+.</t>
  </si>
  <si>
    <t>Growth Rate, Churn</t>
  </si>
  <si>
    <t>Payback Period</t>
  </si>
  <si>
    <t>'=CAC / (Price × Gross Margin)</t>
  </si>
  <si>
    <t>Months to recover customer acquisition cost. &lt;12 months is good, &gt;18 months is concerning.</t>
  </si>
  <si>
    <t>CAC, Price, Gross Margin</t>
  </si>
  <si>
    <t>Magic Number</t>
  </si>
  <si>
    <t>'=(MRR × Growth × 12) / (CAC × New Customers × 3)</t>
  </si>
  <si>
    <t>SaaS Magic Number = Net New ARR / Prior Quarter S&amp;M. &gt;0.75 = efficient growth. &gt;1.5 = excellent.</t>
  </si>
  <si>
    <t>MRR, Growth, CAC, New Customers</t>
  </si>
  <si>
    <t>SAAS BENCHMARKS &amp; RULES OF THUMB</t>
  </si>
  <si>
    <t>Context</t>
  </si>
  <si>
    <t>&gt; 3.0x</t>
  </si>
  <si>
    <t>Minimum for sustainable SaaS unit economics</t>
  </si>
  <si>
    <t>&gt; 70%</t>
  </si>
  <si>
    <t>SaaS gross margin benchmark (software has low COGS)</t>
  </si>
  <si>
    <t>&lt; 5%</t>
  </si>
  <si>
    <t>Enterprise SaaS target; consumer SaaS can be higher</t>
  </si>
  <si>
    <t>Annual Churn</t>
  </si>
  <si>
    <t>&lt; 10%</t>
  </si>
  <si>
    <t>Annualized target for healthy SaaS</t>
  </si>
  <si>
    <t>&gt; 100%</t>
  </si>
  <si>
    <t>Net Revenue Retention; expansion offsets churn</t>
  </si>
  <si>
    <t>&lt; 12 months</t>
  </si>
  <si>
    <t>Months to recover CAC; shorter is better</t>
  </si>
  <si>
    <t>&gt; 0.75x</t>
  </si>
  <si>
    <t>Efficient growth threshold; &gt;1.5x is excellent</t>
  </si>
  <si>
    <t>Rule of 40</t>
  </si>
  <si>
    <t>&gt; 40%</t>
  </si>
  <si>
    <t>Growth Rate + EBITDA Margin &gt; 40% for mature SaaS</t>
  </si>
  <si>
    <t>HOW TO MODIFY THIS MODEL</t>
  </si>
  <si>
    <t>1. Go to 'Input Variables' sheet and locate the variable you want to change</t>
  </si>
  <si>
    <t>2. Edit the CURRENT VALUE cell (column E, highlighted in blue)</t>
  </si>
  <si>
    <t>3. All calculated values across ALL sheets will update automatically</t>
  </si>
  <si>
    <t>4. Check 'Dashboard' for high-level KPI impact</t>
  </si>
  <si>
    <t>5. Check 'Calculated Variables' for detailed formula outputs</t>
  </si>
  <si>
    <t>6. Check 'Scenarios' to compare different assumption sets</t>
  </si>
  <si>
    <t>7. Check 'Sensitivity Table' to see two-way interaction effects</t>
  </si>
  <si>
    <t>8. Review 'Formula Guide' (this sheet) to understand the logic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</si>
</sst>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$#,##0"/>
    <numFmt numFmtId="165" formatCode="0.00\x"/>
    <numFmt numFmtId="166" formatCode="0.0%"/>
    <numFmt numFmtId="167" formatCode="0&quot; months&quot;"/>
  </numFmts>
  <fonts count="31" x14ac:knownFonts="1">
    <font>
      <sz val="11"/>
      <color rgb="FF000000"/>
      <name val="Calibri"/>
      <family val="2"/>
      <charset val="1"/>
    </font>
    <font>
      <b/>
      <sz val="24"/>
      <color rgb="FF122B49"/>
      <name val="Calibri"/>
      <family val="2"/>
    </font>
    <font>
      <sz val="14"/>
      <color rgb="FF3B6796"/>
      <name val="Calibri"/>
      <family val="2"/>
    </font>
    <font>
      <sz val="12"/>
      <color rgb="FF6B7280"/>
      <name val="Calibri"/>
      <family val="2"/>
    </font>
    <font>
      <b/>
      <sz val="11"/>
      <color rgb="FF122B49"/>
      <name val="Calibri"/>
      <family val="2"/>
    </font>
    <font>
      <sz val="10"/>
      <color rgb="FF000000"/>
      <name val="Calibri"/>
      <family val="2"/>
    </font>
    <font>
      <i/>
      <sz val="9"/>
      <color rgb="FF6B7280"/>
      <name val="Calibri"/>
      <family val="2"/>
    </font>
    <font>
      <sz val="10"/>
      <color rgb="FF0066CC"/>
      <name val="Calibri"/>
      <family val="2"/>
    </font>
    <font>
      <sz val="10"/>
      <color rgb="FF6B7280"/>
      <name val="Calibri"/>
      <family val="2"/>
    </font>
    <font>
      <b/>
      <sz val="20"/>
      <color rgb="FF122B49"/>
      <name val="Calibri"/>
      <family val="2"/>
    </font>
    <font>
      <b/>
      <sz val="10"/>
      <color rgb="FFFFFFFF"/>
      <name val="Calibri"/>
      <family val="2"/>
    </font>
    <font>
      <b/>
      <sz val="10"/>
      <color rgb="FF0066CC"/>
      <name val="Calibri"/>
      <family val="2"/>
    </font>
    <font>
      <b/>
      <sz val="12"/>
      <color rgb="FF122B49"/>
      <name val="Calibri"/>
      <family val="2"/>
    </font>
    <font>
      <b/>
      <sz val="10"/>
      <color rgb="FF000000"/>
      <name val="Calibri"/>
      <family val="2"/>
    </font>
    <font>
      <b/>
      <sz val="10"/>
      <color rgb="FFDC2626"/>
      <name val="Calibri"/>
      <family val="2"/>
    </font>
    <font>
      <b/>
      <sz val="10"/>
      <color rgb="FF059669"/>
      <name val="Calibri"/>
      <family val="2"/>
    </font>
    <font>
      <sz val="9"/>
      <color rgb="FF6B7280"/>
      <name val="Calibri"/>
      <family val="2"/>
    </font>
    <font>
      <b/>
      <sz val="14"/>
      <color rgb="FF122B49"/>
      <name val="Calibri"/>
      <family val="2"/>
    </font>
    <font>
      <sz val="12"/>
      <color rgb="FF000000"/>
      <name val="Calibri"/>
      <family val="2"/>
    </font>
    <font>
      <i/>
      <sz val="12"/>
      <color rgb="FF6B7280"/>
      <name val="Calibri"/>
      <family val="2"/>
    </font>
    <font>
      <sz val="12"/>
      <color rgb="FF0066CC"/>
      <name val="Calibri"/>
      <family val="2"/>
    </font>
    <font>
      <b/>
      <sz val="12"/>
      <color rgb="FFFFFFFF"/>
      <name val="Calibri"/>
      <family val="2"/>
    </font>
    <font>
      <b/>
      <sz val="12"/>
      <name val="Calibri"/>
      <family val="2"/>
    </font>
    <font>
      <b/>
      <sz val="12"/>
      <color rgb="FF000000"/>
      <name val="Calibri"/>
      <family val="2"/>
    </font>
    <font>
      <b/>
      <sz val="12"/>
      <color rgb="FFDC2626"/>
      <name val="Calibri"/>
      <family val="2"/>
    </font>
    <font>
      <b/>
      <sz val="12"/>
      <color rgb="FF059669"/>
      <name val="Calibri"/>
      <family val="2"/>
    </font>
    <font>
      <b/>
      <sz val="10"/>
      <color theme="0"/>
      <name val="Calibri"/>
      <family val="2"/>
    </font>
    <font>
      <sz val="12"/>
      <color rgb="FF000000"/>
      <name val="Courier New"/>
      <family val="1"/>
    </font>
    <font>
      <sz val="11"/>
      <color rgb="FFFF0000"/>
      <name val="Calibri"/>
      <family val="2"/>
      <charset val="1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122B49"/>
        <bgColor rgb="FF333333"/>
      </patternFill>
    </fill>
    <fill>
      <patternFill patternType="solid">
        <fgColor rgb="FFE6F0FA"/>
        <bgColor rgb="FFF3F4F6"/>
      </patternFill>
    </fill>
    <fill>
      <patternFill patternType="solid">
        <fgColor rgb="FFF9FAFB"/>
        <bgColor rgb="FFF9F9F9"/>
      </patternFill>
    </fill>
    <fill>
      <patternFill patternType="solid">
        <fgColor rgb="FFF3F4F6"/>
        <bgColor rgb="FFF9F9F9"/>
      </patternFill>
    </fill>
    <fill>
      <patternFill patternType="solid">
        <fgColor rgb="FFFEE2E2"/>
        <bgColor rgb="FFF3F4F6"/>
      </patternFill>
    </fill>
    <fill>
      <patternFill patternType="solid">
        <fgColor rgb="FFD1FAE5"/>
        <bgColor rgb="FFE6F0FA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122B49"/>
      </bottom>
      <diagonal/>
    </border>
    <border>
      <left style="thin">
        <color rgb="FF3B6796"/>
      </left>
      <right style="thin">
        <color rgb="FF3B6796"/>
      </right>
      <top style="thin">
        <color rgb="FF3B6796"/>
      </top>
      <bottom style="thin">
        <color rgb="FF3B6796"/>
      </bottom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medium">
        <color rgb="FF122B49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2" fillId="7" borderId="0" xfId="0" applyFont="1" applyFill="1"/>
    <xf numFmtId="0" fontId="12" fillId="6" borderId="0" xfId="0" applyFont="1" applyFill="1"/>
    <xf numFmtId="0" fontId="12" fillId="5" borderId="0" xfId="0" applyFont="1" applyFill="1"/>
    <xf numFmtId="0" fontId="3" fillId="0" borderId="0" xfId="0" applyFont="1"/>
    <xf numFmtId="0" fontId="4" fillId="0" borderId="0" xfId="0" applyFont="1"/>
    <xf numFmtId="0" fontId="6" fillId="0" borderId="0" xfId="0" applyFont="1"/>
    <xf numFmtId="0" fontId="9" fillId="0" borderId="0" xfId="0" applyFont="1" applyAlignment="1">
      <alignment horizontal="left" vertical="center"/>
    </xf>
    <xf numFmtId="0" fontId="0" fillId="0" borderId="1" xfId="0" applyBorder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/>
    <xf numFmtId="0" fontId="6" fillId="0" borderId="0" xfId="0" applyFont="1" applyAlignment="1">
      <alignment horizontal="left" vertical="center"/>
    </xf>
    <xf numFmtId="0" fontId="8" fillId="0" borderId="0" xfId="0" applyFont="1"/>
    <xf numFmtId="0" fontId="10" fillId="2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164" fontId="11" fillId="3" borderId="2" xfId="0" applyNumberFormat="1" applyFont="1" applyFill="1" applyBorder="1" applyAlignment="1">
      <alignment horizontal="right" vertical="center"/>
    </xf>
    <xf numFmtId="164" fontId="8" fillId="0" borderId="0" xfId="0" applyNumberFormat="1" applyFont="1" applyAlignment="1">
      <alignment horizontal="right" vertical="center"/>
    </xf>
    <xf numFmtId="0" fontId="5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center" vertical="center"/>
    </xf>
    <xf numFmtId="3" fontId="7" fillId="4" borderId="0" xfId="0" applyNumberFormat="1" applyFont="1" applyFill="1" applyAlignment="1">
      <alignment horizontal="right" vertical="center"/>
    </xf>
    <xf numFmtId="3" fontId="11" fillId="3" borderId="2" xfId="0" applyNumberFormat="1" applyFont="1" applyFill="1" applyBorder="1" applyAlignment="1">
      <alignment horizontal="right" vertical="center"/>
    </xf>
    <xf numFmtId="0" fontId="8" fillId="4" borderId="0" xfId="0" applyFont="1" applyFill="1" applyAlignment="1">
      <alignment horizontal="right" vertical="center"/>
    </xf>
    <xf numFmtId="0" fontId="6" fillId="4" borderId="0" xfId="0" applyFont="1" applyFill="1" applyAlignment="1">
      <alignment horizontal="left" vertical="center"/>
    </xf>
    <xf numFmtId="10" fontId="7" fillId="0" borderId="0" xfId="0" applyNumberFormat="1" applyFont="1" applyAlignment="1">
      <alignment horizontal="right" vertical="center"/>
    </xf>
    <xf numFmtId="10" fontId="11" fillId="3" borderId="2" xfId="0" applyNumberFormat="1" applyFont="1" applyFill="1" applyBorder="1" applyAlignment="1">
      <alignment horizontal="right" vertical="center"/>
    </xf>
    <xf numFmtId="10" fontId="8" fillId="0" borderId="0" xfId="0" applyNumberFormat="1" applyFont="1" applyAlignment="1">
      <alignment horizontal="right" vertical="center"/>
    </xf>
    <xf numFmtId="10" fontId="7" fillId="4" borderId="0" xfId="0" applyNumberFormat="1" applyFont="1" applyFill="1" applyAlignment="1">
      <alignment horizontal="right" vertical="center"/>
    </xf>
    <xf numFmtId="10" fontId="8" fillId="4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8" fillId="4" borderId="0" xfId="0" applyNumberFormat="1" applyFont="1" applyFill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164" fontId="5" fillId="4" borderId="0" xfId="0" applyNumberFormat="1" applyFont="1" applyFill="1" applyAlignment="1">
      <alignment horizontal="right" vertical="center"/>
    </xf>
    <xf numFmtId="0" fontId="3" fillId="0" borderId="0" xfId="0" applyFont="1"/>
    <xf numFmtId="9" fontId="10" fillId="2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164" fontId="17" fillId="4" borderId="3" xfId="0" applyNumberFormat="1" applyFont="1" applyFill="1" applyBorder="1" applyAlignment="1">
      <alignment horizontal="right" vertical="center"/>
    </xf>
    <xf numFmtId="3" fontId="17" fillId="4" borderId="3" xfId="0" applyNumberFormat="1" applyFont="1" applyFill="1" applyBorder="1" applyAlignment="1">
      <alignment horizontal="right" vertical="center"/>
    </xf>
    <xf numFmtId="166" fontId="17" fillId="4" borderId="3" xfId="0" applyNumberFormat="1" applyFont="1" applyFill="1" applyBorder="1" applyAlignment="1">
      <alignment horizontal="right" vertical="center"/>
    </xf>
    <xf numFmtId="165" fontId="17" fillId="4" borderId="3" xfId="0" applyNumberFormat="1" applyFont="1" applyFill="1" applyBorder="1" applyAlignment="1">
      <alignment horizontal="right" vertical="center"/>
    </xf>
    <xf numFmtId="10" fontId="17" fillId="4" borderId="3" xfId="0" applyNumberFormat="1" applyFont="1" applyFill="1" applyBorder="1" applyAlignment="1">
      <alignment horizontal="right" vertical="center"/>
    </xf>
    <xf numFmtId="167" fontId="17" fillId="4" borderId="3" xfId="0" applyNumberFormat="1" applyFont="1" applyFill="1" applyBorder="1" applyAlignment="1">
      <alignment horizontal="right" vertical="center"/>
    </xf>
    <xf numFmtId="0" fontId="11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4" borderId="0" xfId="0" applyFont="1" applyFill="1" applyAlignment="1">
      <alignment horizontal="left" vertical="center"/>
    </xf>
    <xf numFmtId="0" fontId="18" fillId="0" borderId="0" xfId="0" applyFont="1"/>
    <xf numFmtId="0" fontId="12" fillId="0" borderId="0" xfId="0" applyFont="1" applyAlignment="1">
      <alignment horizontal="right" vertical="center"/>
    </xf>
    <xf numFmtId="0" fontId="19" fillId="0" borderId="0" xfId="0" applyFont="1" applyAlignment="1">
      <alignment horizontal="left" vertical="center"/>
    </xf>
    <xf numFmtId="0" fontId="12" fillId="0" borderId="0" xfId="0" applyFont="1"/>
    <xf numFmtId="0" fontId="12" fillId="0" borderId="0" xfId="0" applyFont="1"/>
    <xf numFmtId="0" fontId="20" fillId="0" borderId="0" xfId="0" applyFont="1"/>
    <xf numFmtId="0" fontId="21" fillId="2" borderId="0" xfId="0" applyFont="1" applyFill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64" fontId="18" fillId="0" borderId="0" xfId="0" applyNumberFormat="1" applyFont="1" applyAlignment="1">
      <alignment horizontal="right" vertical="center"/>
    </xf>
    <xf numFmtId="0" fontId="18" fillId="4" borderId="0" xfId="0" applyFont="1" applyFill="1" applyAlignment="1">
      <alignment horizontal="left" vertical="center"/>
    </xf>
    <xf numFmtId="0" fontId="3" fillId="4" borderId="0" xfId="0" applyFont="1" applyFill="1" applyAlignment="1">
      <alignment horizontal="center" vertical="center"/>
    </xf>
    <xf numFmtId="0" fontId="19" fillId="4" borderId="0" xfId="0" applyFont="1" applyFill="1" applyAlignment="1">
      <alignment horizontal="left" vertical="center"/>
    </xf>
    <xf numFmtId="164" fontId="18" fillId="4" borderId="0" xfId="0" applyNumberFormat="1" applyFont="1" applyFill="1" applyAlignment="1">
      <alignment horizontal="right" vertical="center"/>
    </xf>
    <xf numFmtId="165" fontId="18" fillId="4" borderId="0" xfId="0" applyNumberFormat="1" applyFont="1" applyFill="1" applyAlignment="1">
      <alignment horizontal="right" vertical="center"/>
    </xf>
    <xf numFmtId="10" fontId="18" fillId="4" borderId="0" xfId="0" applyNumberFormat="1" applyFont="1" applyFill="1" applyAlignment="1">
      <alignment horizontal="right" vertical="center"/>
    </xf>
    <xf numFmtId="3" fontId="18" fillId="4" borderId="0" xfId="0" applyNumberFormat="1" applyFont="1" applyFill="1" applyAlignment="1">
      <alignment horizontal="right" vertical="center"/>
    </xf>
    <xf numFmtId="10" fontId="18" fillId="0" borderId="0" xfId="0" applyNumberFormat="1" applyFont="1" applyAlignment="1">
      <alignment horizontal="right" vertical="center"/>
    </xf>
    <xf numFmtId="165" fontId="18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64" fontId="23" fillId="0" borderId="0" xfId="0" applyNumberFormat="1" applyFont="1" applyAlignment="1">
      <alignment horizontal="right" vertical="center"/>
    </xf>
    <xf numFmtId="0" fontId="19" fillId="0" borderId="0" xfId="0" applyFont="1"/>
    <xf numFmtId="3" fontId="3" fillId="0" borderId="0" xfId="0" applyNumberFormat="1" applyFont="1" applyAlignment="1">
      <alignment horizontal="right" vertical="center"/>
    </xf>
    <xf numFmtId="3" fontId="23" fillId="0" borderId="0" xfId="0" applyNumberFormat="1" applyFont="1" applyAlignment="1">
      <alignment horizontal="right" vertical="center"/>
    </xf>
    <xf numFmtId="10" fontId="3" fillId="0" borderId="0" xfId="0" applyNumberFormat="1" applyFont="1" applyAlignment="1">
      <alignment horizontal="right" vertical="center"/>
    </xf>
    <xf numFmtId="10" fontId="23" fillId="0" borderId="0" xfId="0" applyNumberFormat="1" applyFont="1" applyAlignment="1">
      <alignment horizontal="right" vertical="center"/>
    </xf>
    <xf numFmtId="0" fontId="22" fillId="0" borderId="0" xfId="0" applyFont="1"/>
    <xf numFmtId="164" fontId="12" fillId="0" borderId="0" xfId="0" applyNumberFormat="1" applyFont="1" applyAlignment="1">
      <alignment horizontal="right" vertical="center"/>
    </xf>
    <xf numFmtId="164" fontId="24" fillId="0" borderId="0" xfId="0" applyNumberFormat="1" applyFont="1" applyAlignment="1">
      <alignment horizontal="right" vertical="center"/>
    </xf>
    <xf numFmtId="3" fontId="25" fillId="7" borderId="0" xfId="0" applyNumberFormat="1" applyFont="1" applyFill="1" applyAlignment="1">
      <alignment horizontal="right" vertical="center"/>
    </xf>
    <xf numFmtId="164" fontId="25" fillId="0" borderId="0" xfId="0" applyNumberFormat="1" applyFont="1" applyAlignment="1">
      <alignment horizontal="right" vertical="center"/>
    </xf>
    <xf numFmtId="9" fontId="26" fillId="2" borderId="0" xfId="0" applyNumberFormat="1" applyFont="1" applyFill="1" applyAlignment="1">
      <alignment horizontal="center" vertical="center"/>
    </xf>
    <xf numFmtId="164" fontId="22" fillId="0" borderId="0" xfId="0" applyNumberFormat="1" applyFont="1"/>
    <xf numFmtId="164" fontId="18" fillId="0" borderId="0" xfId="0" applyNumberFormat="1" applyFont="1"/>
    <xf numFmtId="0" fontId="21" fillId="2" borderId="0" xfId="0" applyFont="1" applyFill="1"/>
    <xf numFmtId="2" fontId="18" fillId="0" borderId="0" xfId="0" applyNumberFormat="1" applyFont="1" applyAlignment="1">
      <alignment horizontal="right" vertical="center"/>
    </xf>
    <xf numFmtId="166" fontId="18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27" fillId="5" borderId="0" xfId="0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8" fillId="4" borderId="0" xfId="0" applyFont="1" applyFill="1"/>
    <xf numFmtId="0" fontId="24" fillId="4" borderId="0" xfId="0" applyFont="1" applyFill="1" applyAlignment="1">
      <alignment horizontal="center" vertical="center"/>
    </xf>
    <xf numFmtId="0" fontId="3" fillId="4" borderId="0" xfId="0" applyFont="1" applyFill="1"/>
    <xf numFmtId="0" fontId="0" fillId="0" borderId="0" xfId="0" applyNumberFormat="1"/>
    <xf numFmtId="0" fontId="28" fillId="0" borderId="0" xfId="0" applyFont="1"/>
    <xf numFmtId="0" fontId="28" fillId="0" borderId="0" xfId="0" applyNumberFormat="1" applyFont="1"/>
    <xf numFmtId="0" fontId="3" fillId="0" borderId="0" xfId="0" applyFont="1" applyAlignment="1"/>
    <xf numFmtId="0" fontId="29" fillId="0" borderId="0" xfId="0" applyFont="1" applyAlignment="1">
      <alignment horizontal="left" vertical="center"/>
    </xf>
    <xf numFmtId="0" fontId="30" fillId="0" borderId="0" xfId="0" applyFont="1" applyAlignment="1">
      <alignment horizontal="center" vertical="center"/>
    </xf>
    <xf numFmtId="10" fontId="24" fillId="6" borderId="0" xfId="0" applyNumberFormat="1" applyFont="1" applyFill="1" applyAlignment="1">
      <alignment horizontal="right" vertical="center"/>
    </xf>
    <xf numFmtId="10" fontId="25" fillId="7" borderId="0" xfId="0" applyNumberFormat="1" applyFont="1" applyFill="1" applyAlignment="1">
      <alignment horizontal="right" vertic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9669"/>
      <rgbColor rgb="FFD9D9D9"/>
      <rgbColor rgb="FF878787"/>
      <rgbColor rgb="FF9999FF"/>
      <rgbColor rgb="FFC0504D"/>
      <rgbColor rgb="FFF9F9F9"/>
      <rgbColor rgb="FFE6F0FA"/>
      <rgbColor rgb="FF660066"/>
      <rgbColor rgb="FFFF8080"/>
      <rgbColor rgb="FF0066CC"/>
      <rgbColor rgb="FFD0D0D0"/>
      <rgbColor rgb="FF000080"/>
      <rgbColor rgb="FFFF00FF"/>
      <rgbColor rgb="FFFFFF00"/>
      <rgbColor rgb="FF00FFFF"/>
      <rgbColor rgb="FF800080"/>
      <rgbColor rgb="FF800000"/>
      <rgbColor rgb="FF3B6796"/>
      <rgbColor rgb="FF0000FF"/>
      <rgbColor rgb="FF00CCFF"/>
      <rgbColor rgb="FFF3F4F6"/>
      <rgbColor rgb="FFD1FAE5"/>
      <rgbColor rgb="FFF9FAFB"/>
      <rgbColor rgb="FF99CCFF"/>
      <rgbColor rgb="FFFF99CC"/>
      <rgbColor rgb="FFCC99FF"/>
      <rgbColor rgb="FFFEE2E2"/>
      <rgbColor rgb="FF4F81BD"/>
      <rgbColor rgb="FF33CCCC"/>
      <rgbColor rgb="FF9BBB59"/>
      <rgbColor rgb="FFFFCC00"/>
      <rgbColor rgb="FFFF9900"/>
      <rgbColor rgb="FFFF6600"/>
      <rgbColor rgb="FF6B7280"/>
      <rgbColor rgb="FF969696"/>
      <rgbColor rgb="FF122B49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SG" sz="1800" b="1" strike="noStrike" spc="-1">
                <a:solidFill>
                  <a:srgbClr val="000000"/>
                </a:solidFill>
                <a:latin typeface="Calibri"/>
              </a:rPr>
              <a:t>Revenue Metrics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Dashboard!$C$12</c:f>
              <c:strCache>
                <c:ptCount val="1"/>
                <c:pt idx="0">
                  <c:v>Value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Dashboard!$B$13:$B$15</c:f>
              <c:strCache>
                <c:ptCount val="3"/>
                <c:pt idx="0">
                  <c:v>MRR</c:v>
                </c:pt>
                <c:pt idx="1">
                  <c:v>ARR</c:v>
                </c:pt>
                <c:pt idx="2">
                  <c:v>LTV</c:v>
                </c:pt>
              </c:strCache>
            </c:strRef>
          </c:cat>
          <c:val>
            <c:numRef>
              <c:f>Dashboard!$C$13:$C$15</c:f>
              <c:numCache>
                <c:formatCode>\$#,##0</c:formatCode>
                <c:ptCount val="3"/>
                <c:pt idx="0">
                  <c:v>1500000</c:v>
                </c:pt>
                <c:pt idx="1">
                  <c:v>18000000</c:v>
                </c:pt>
                <c:pt idx="2">
                  <c:v>1600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93-DA48-B28F-B48576FDB8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2350370"/>
        <c:axId val="343289"/>
      </c:barChart>
      <c:catAx>
        <c:axId val="7235037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SG" sz="1000" b="1" strike="noStrike" spc="-1">
                    <a:solidFill>
                      <a:srgbClr val="000000"/>
                    </a:solidFill>
                    <a:latin typeface="Calibri"/>
                  </a:rPr>
                  <a:t>Metric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343289"/>
        <c:crosses val="autoZero"/>
        <c:auto val="1"/>
        <c:lblAlgn val="ctr"/>
        <c:lblOffset val="100"/>
        <c:noMultiLvlLbl val="0"/>
      </c:catAx>
      <c:valAx>
        <c:axId val="343289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SG" sz="1000" b="1" strike="noStrike" spc="-1">
                    <a:solidFill>
                      <a:srgbClr val="000000"/>
                    </a:solidFill>
                    <a:latin typeface="Calibri"/>
                  </a:rPr>
                  <a:t>USD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$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7235037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SG" sz="1800" b="1" strike="noStrike" spc="-1">
                <a:solidFill>
                  <a:srgbClr val="000000"/>
                </a:solidFill>
                <a:latin typeface="Calibri"/>
              </a:rPr>
              <a:t>ARR by Scenario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Dashboard!$C$19</c:f>
              <c:strCache>
                <c:ptCount val="1"/>
                <c:pt idx="0">
                  <c:v>ARR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4F81B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5ABB-6E40-89F1-B05729AF9F38}"/>
              </c:ext>
            </c:extLst>
          </c:dPt>
          <c:dPt>
            <c:idx val="1"/>
            <c:invertIfNegative val="0"/>
            <c:bubble3D val="0"/>
            <c:spPr>
              <a:solidFill>
                <a:srgbClr val="C0504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5ABB-6E40-89F1-B05729AF9F38}"/>
              </c:ext>
            </c:extLst>
          </c:dPt>
          <c:dPt>
            <c:idx val="2"/>
            <c:invertIfNegative val="0"/>
            <c:bubble3D val="0"/>
            <c:spPr>
              <a:solidFill>
                <a:srgbClr val="9BBB5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5ABB-6E40-89F1-B05729AF9F38}"/>
              </c:ext>
            </c:extLst>
          </c:dPt>
          <c:dLbls>
            <c:dLbl>
              <c:idx val="0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Arial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BB-6E40-89F1-B05729AF9F38}"/>
                </c:ext>
              </c:extLst>
            </c:dLbl>
            <c:dLbl>
              <c:idx val="1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Arial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ABB-6E40-89F1-B05729AF9F38}"/>
                </c:ext>
              </c:extLst>
            </c:dLbl>
            <c:dLbl>
              <c:idx val="2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Arial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ABB-6E40-89F1-B05729AF9F3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Dashboard!$B$20:$B$22</c:f>
              <c:strCache>
                <c:ptCount val="3"/>
                <c:pt idx="0">
                  <c:v>Base Case</c:v>
                </c:pt>
                <c:pt idx="1">
                  <c:v>Conservative</c:v>
                </c:pt>
                <c:pt idx="2">
                  <c:v>Aggressive</c:v>
                </c:pt>
              </c:strCache>
            </c:strRef>
          </c:cat>
          <c:val>
            <c:numRef>
              <c:f>Dashboard!$C$20:$C$22</c:f>
              <c:numCache>
                <c:formatCode>\$#,##0</c:formatCode>
                <c:ptCount val="3"/>
                <c:pt idx="0">
                  <c:v>18000000</c:v>
                </c:pt>
                <c:pt idx="1">
                  <c:v>15300000</c:v>
                </c:pt>
                <c:pt idx="2">
                  <c:v>24300000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BB-6E40-89F1-B05729AF9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88291647"/>
        <c:axId val="486630143"/>
      </c:barChart>
      <c:valAx>
        <c:axId val="486630143"/>
        <c:scaling>
          <c:orientation val="minMax"/>
        </c:scaling>
        <c:delete val="0"/>
        <c:axPos val="l"/>
        <c:majorGridlines/>
        <c:numFmt formatCode="\$#,##0" sourceLinked="1"/>
        <c:majorTickMark val="out"/>
        <c:minorTickMark val="none"/>
        <c:tickLblPos val="nextTo"/>
        <c:crossAx val="488291647"/>
        <c:crossBetween val="between"/>
      </c:valAx>
      <c:catAx>
        <c:axId val="48829164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86630143"/>
        <c:auto val="1"/>
        <c:lblAlgn val="ctr"/>
        <c:lblOffset val="100"/>
        <c:noMultiLvlLbl val="0"/>
      </c:cat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431800</xdr:colOff>
      <xdr:row>2</xdr:row>
      <xdr:rowOff>12700</xdr:rowOff>
    </xdr:from>
    <xdr:to>
      <xdr:col>15</xdr:col>
      <xdr:colOff>567720</xdr:colOff>
      <xdr:row>17</xdr:row>
      <xdr:rowOff>144520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355600</xdr:colOff>
      <xdr:row>19</xdr:row>
      <xdr:rowOff>169719</xdr:rowOff>
    </xdr:from>
    <xdr:to>
      <xdr:col>15</xdr:col>
      <xdr:colOff>588819</xdr:colOff>
      <xdr:row>38</xdr:row>
      <xdr:rowOff>111039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30"/>
  <sheetViews>
    <sheetView showGridLines="0" topLeftCell="A3" zoomScale="130" zoomScaleNormal="130" workbookViewId="0">
      <selection activeCell="F14" sqref="F14"/>
    </sheetView>
  </sheetViews>
  <sheetFormatPr baseColWidth="10" defaultColWidth="8.6640625" defaultRowHeight="15" x14ac:dyDescent="0.2"/>
  <cols>
    <col min="1" max="1" width="3" customWidth="1"/>
    <col min="2" max="5" width="22" customWidth="1"/>
    <col min="6" max="9" width="16" customWidth="1"/>
  </cols>
  <sheetData>
    <row r="2" spans="2:5" ht="39.75" customHeight="1" x14ac:dyDescent="0.2">
      <c r="B2" s="11" t="s">
        <v>0</v>
      </c>
      <c r="C2" s="11"/>
      <c r="D2" s="11"/>
      <c r="E2" s="11"/>
    </row>
    <row r="3" spans="2:5" ht="24.75" customHeight="1" x14ac:dyDescent="0.2">
      <c r="B3" s="10" t="s">
        <v>1</v>
      </c>
      <c r="C3" s="10"/>
      <c r="D3" s="10"/>
      <c r="E3" s="10"/>
    </row>
    <row r="4" spans="2:5" ht="15" customHeight="1" x14ac:dyDescent="0.2">
      <c r="B4" s="9" t="s">
        <v>2</v>
      </c>
      <c r="C4" s="9"/>
      <c r="D4" s="9"/>
      <c r="E4" s="9"/>
    </row>
    <row r="6" spans="2:5" ht="15" customHeight="1" x14ac:dyDescent="0.2">
      <c r="B6" s="8"/>
      <c r="C6" s="8"/>
      <c r="D6" s="8"/>
      <c r="E6" s="8"/>
    </row>
    <row r="8" spans="2:5" ht="24.75" customHeight="1" x14ac:dyDescent="0.2">
      <c r="B8" s="13" t="s">
        <v>3</v>
      </c>
    </row>
    <row r="9" spans="2:5" ht="15" customHeight="1" x14ac:dyDescent="0.2">
      <c r="B9" s="53" t="s">
        <v>4</v>
      </c>
      <c r="C9" s="53"/>
      <c r="D9" s="54" t="s">
        <v>5</v>
      </c>
      <c r="E9" s="55" t="s">
        <v>6</v>
      </c>
    </row>
    <row r="10" spans="2:5" ht="15" customHeight="1" x14ac:dyDescent="0.2">
      <c r="B10" s="53" t="s">
        <v>7</v>
      </c>
      <c r="C10" s="53"/>
      <c r="D10" s="54" t="s">
        <v>8</v>
      </c>
      <c r="E10" s="55" t="s">
        <v>9</v>
      </c>
    </row>
    <row r="11" spans="2:5" ht="15" customHeight="1" x14ac:dyDescent="0.2">
      <c r="B11" s="53" t="s">
        <v>10</v>
      </c>
      <c r="C11" s="53"/>
      <c r="D11" s="54" t="s">
        <v>11</v>
      </c>
      <c r="E11" s="55" t="s">
        <v>12</v>
      </c>
    </row>
    <row r="12" spans="2:5" ht="15" customHeight="1" x14ac:dyDescent="0.2">
      <c r="B12" s="53" t="s">
        <v>13</v>
      </c>
      <c r="C12" s="53"/>
      <c r="D12" s="54" t="s">
        <v>14</v>
      </c>
      <c r="E12" s="55" t="s">
        <v>15</v>
      </c>
    </row>
    <row r="13" spans="2:5" ht="15" customHeight="1" x14ac:dyDescent="0.2">
      <c r="B13" s="53" t="s">
        <v>16</v>
      </c>
      <c r="C13" s="53"/>
      <c r="D13" s="54" t="s">
        <v>17</v>
      </c>
      <c r="E13" s="55" t="s">
        <v>18</v>
      </c>
    </row>
    <row r="14" spans="2:5" ht="15" customHeight="1" x14ac:dyDescent="0.2">
      <c r="B14" s="53" t="s">
        <v>19</v>
      </c>
      <c r="C14" s="53"/>
      <c r="D14" s="54" t="s">
        <v>20</v>
      </c>
      <c r="E14" s="55" t="s">
        <v>21</v>
      </c>
    </row>
    <row r="16" spans="2:5" ht="15" customHeight="1" x14ac:dyDescent="0.2">
      <c r="B16" s="13" t="s">
        <v>22</v>
      </c>
    </row>
    <row r="17" spans="1:5" ht="15" customHeight="1" x14ac:dyDescent="0.2">
      <c r="B17" s="56" t="s">
        <v>23</v>
      </c>
      <c r="C17" s="53"/>
      <c r="D17" s="57" t="s">
        <v>24</v>
      </c>
      <c r="E17" s="57"/>
    </row>
    <row r="18" spans="1:5" ht="15" customHeight="1" x14ac:dyDescent="0.2">
      <c r="B18" s="58" t="s">
        <v>25</v>
      </c>
      <c r="C18" s="53"/>
      <c r="D18" s="4" t="s">
        <v>26</v>
      </c>
      <c r="E18" s="4"/>
    </row>
    <row r="19" spans="1:5" ht="15" customHeight="1" x14ac:dyDescent="0.2">
      <c r="B19" s="58" t="s">
        <v>27</v>
      </c>
      <c r="C19" s="53"/>
      <c r="D19" s="4" t="s">
        <v>28</v>
      </c>
      <c r="E19" s="4"/>
    </row>
    <row r="20" spans="1:5" ht="15" customHeight="1" x14ac:dyDescent="0.2">
      <c r="B20" s="58" t="s">
        <v>29</v>
      </c>
      <c r="C20" s="53"/>
      <c r="D20" s="4" t="s">
        <v>30</v>
      </c>
      <c r="E20" s="4"/>
    </row>
    <row r="21" spans="1:5" ht="15" customHeight="1" x14ac:dyDescent="0.2">
      <c r="B21" s="58" t="s">
        <v>31</v>
      </c>
      <c r="C21" s="53"/>
      <c r="D21" s="4" t="s">
        <v>32</v>
      </c>
      <c r="E21" s="4"/>
    </row>
    <row r="22" spans="1:5" ht="15" customHeight="1" x14ac:dyDescent="0.2">
      <c r="B22" s="58" t="s">
        <v>33</v>
      </c>
      <c r="C22" s="53"/>
      <c r="D22" s="4" t="s">
        <v>34</v>
      </c>
      <c r="E22" s="4"/>
    </row>
    <row r="23" spans="1:5" ht="15" customHeight="1" x14ac:dyDescent="0.2">
      <c r="B23" s="58" t="s">
        <v>35</v>
      </c>
      <c r="C23" s="53"/>
      <c r="D23" s="4" t="s">
        <v>36</v>
      </c>
      <c r="E23" s="4"/>
    </row>
    <row r="25" spans="1:5" ht="15" customHeight="1" x14ac:dyDescent="0.2">
      <c r="B25" s="13" t="s">
        <v>37</v>
      </c>
    </row>
    <row r="26" spans="1:5" ht="15" customHeight="1" x14ac:dyDescent="0.2">
      <c r="A26" s="53"/>
      <c r="B26" s="4" t="s">
        <v>38</v>
      </c>
      <c r="C26" s="4"/>
      <c r="D26" s="4"/>
      <c r="E26" s="4"/>
    </row>
    <row r="27" spans="1:5" ht="15" customHeight="1" x14ac:dyDescent="0.2">
      <c r="A27" s="53"/>
      <c r="B27" s="4" t="s">
        <v>39</v>
      </c>
      <c r="C27" s="4"/>
      <c r="D27" s="4"/>
      <c r="E27" s="4"/>
    </row>
    <row r="28" spans="1:5" ht="15" customHeight="1" x14ac:dyDescent="0.2">
      <c r="A28" s="53"/>
      <c r="B28" s="4" t="s">
        <v>40</v>
      </c>
      <c r="C28" s="4"/>
      <c r="D28" s="4"/>
      <c r="E28" s="4"/>
    </row>
    <row r="29" spans="1:5" ht="15" customHeight="1" x14ac:dyDescent="0.2">
      <c r="A29" s="53"/>
      <c r="B29" s="4" t="s">
        <v>41</v>
      </c>
      <c r="C29" s="4"/>
      <c r="D29" s="4"/>
      <c r="E29" s="4"/>
    </row>
    <row r="30" spans="1:5" ht="15" customHeight="1" x14ac:dyDescent="0.2">
      <c r="A30" s="53"/>
      <c r="B30" s="4" t="s">
        <v>42</v>
      </c>
      <c r="C30" s="4"/>
      <c r="D30" s="4"/>
      <c r="E30" s="4"/>
    </row>
  </sheetData>
  <mergeCells count="16">
    <mergeCell ref="B30:E30"/>
    <mergeCell ref="D23:E23"/>
    <mergeCell ref="B26:E26"/>
    <mergeCell ref="B27:E27"/>
    <mergeCell ref="B28:E28"/>
    <mergeCell ref="B29:E29"/>
    <mergeCell ref="D18:E18"/>
    <mergeCell ref="D19:E19"/>
    <mergeCell ref="D20:E20"/>
    <mergeCell ref="D21:E21"/>
    <mergeCell ref="D22:E22"/>
    <mergeCell ref="B2:E2"/>
    <mergeCell ref="B3:E3"/>
    <mergeCell ref="B4:E4"/>
    <mergeCell ref="B6:E6"/>
    <mergeCell ref="D17:E17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16"/>
  <sheetViews>
    <sheetView showGridLines="0" zoomScale="140" zoomScaleNormal="140" workbookViewId="0">
      <selection activeCell="E9" sqref="E9"/>
    </sheetView>
  </sheetViews>
  <sheetFormatPr baseColWidth="10" defaultColWidth="8.6640625" defaultRowHeight="15" x14ac:dyDescent="0.2"/>
  <cols>
    <col min="1" max="1" width="3" customWidth="1"/>
    <col min="2" max="2" width="28" customWidth="1"/>
    <col min="3" max="3" width="18" customWidth="1"/>
    <col min="4" max="7" width="14" customWidth="1"/>
    <col min="8" max="8" width="40" customWidth="1"/>
  </cols>
  <sheetData>
    <row r="2" spans="2:8" ht="34.5" customHeight="1" x14ac:dyDescent="0.2">
      <c r="B2" s="7" t="s">
        <v>43</v>
      </c>
      <c r="C2" s="7"/>
      <c r="D2" s="7"/>
      <c r="E2" s="7"/>
      <c r="F2" s="7"/>
      <c r="G2" s="7"/>
      <c r="H2" s="7"/>
    </row>
    <row r="3" spans="2:8" ht="15" customHeight="1" x14ac:dyDescent="0.2">
      <c r="B3" s="9" t="s">
        <v>44</v>
      </c>
      <c r="C3" s="9"/>
      <c r="D3" s="9"/>
      <c r="E3" s="9"/>
      <c r="F3" s="9"/>
      <c r="G3" s="9"/>
      <c r="H3" s="9"/>
    </row>
    <row r="5" spans="2:8" ht="21.75" customHeight="1" x14ac:dyDescent="0.2">
      <c r="B5" s="16" t="s">
        <v>45</v>
      </c>
      <c r="C5" s="16" t="s">
        <v>46</v>
      </c>
      <c r="D5" s="16" t="s">
        <v>47</v>
      </c>
      <c r="E5" s="16" t="s">
        <v>48</v>
      </c>
      <c r="F5" s="16" t="s">
        <v>49</v>
      </c>
      <c r="G5" s="16" t="s">
        <v>50</v>
      </c>
      <c r="H5" s="16" t="s">
        <v>24</v>
      </c>
    </row>
    <row r="6" spans="2:8" ht="15" customHeight="1" x14ac:dyDescent="0.2">
      <c r="B6" s="17" t="s">
        <v>51</v>
      </c>
      <c r="C6" s="18" t="s">
        <v>52</v>
      </c>
      <c r="D6" s="19">
        <v>99</v>
      </c>
      <c r="E6" s="20">
        <v>100</v>
      </c>
      <c r="F6" s="21">
        <v>29</v>
      </c>
      <c r="G6" s="21">
        <v>499</v>
      </c>
      <c r="H6" s="14" t="s">
        <v>53</v>
      </c>
    </row>
    <row r="7" spans="2:8" ht="15" customHeight="1" x14ac:dyDescent="0.2">
      <c r="B7" s="22" t="s">
        <v>54</v>
      </c>
      <c r="C7" s="23" t="s">
        <v>52</v>
      </c>
      <c r="D7" s="24">
        <v>15000</v>
      </c>
      <c r="E7" s="25">
        <v>15000</v>
      </c>
      <c r="F7" s="26">
        <v>1000</v>
      </c>
      <c r="G7" s="26">
        <v>100000</v>
      </c>
      <c r="H7" s="27" t="s">
        <v>55</v>
      </c>
    </row>
    <row r="8" spans="2:8" ht="15" customHeight="1" x14ac:dyDescent="0.2">
      <c r="B8" s="17" t="s">
        <v>56</v>
      </c>
      <c r="C8" s="18" t="s">
        <v>52</v>
      </c>
      <c r="D8" s="28">
        <v>0.25</v>
      </c>
      <c r="E8" s="29">
        <v>0.25</v>
      </c>
      <c r="F8" s="30">
        <v>-0.5</v>
      </c>
      <c r="G8" s="30">
        <v>3</v>
      </c>
      <c r="H8" s="14" t="s">
        <v>57</v>
      </c>
    </row>
    <row r="9" spans="2:8" ht="15" customHeight="1" x14ac:dyDescent="0.2">
      <c r="B9" s="22" t="s">
        <v>58</v>
      </c>
      <c r="C9" s="23" t="s">
        <v>52</v>
      </c>
      <c r="D9" s="31">
        <v>0.05</v>
      </c>
      <c r="E9" s="29">
        <v>0.05</v>
      </c>
      <c r="F9" s="32">
        <v>0.01</v>
      </c>
      <c r="G9" s="32">
        <v>0.5</v>
      </c>
      <c r="H9" s="27" t="s">
        <v>59</v>
      </c>
    </row>
    <row r="10" spans="2:8" ht="15" customHeight="1" x14ac:dyDescent="0.2">
      <c r="B10" s="17" t="s">
        <v>60</v>
      </c>
      <c r="C10" s="18" t="s">
        <v>52</v>
      </c>
      <c r="D10" s="33">
        <v>1200</v>
      </c>
      <c r="E10" s="25">
        <v>1200</v>
      </c>
      <c r="F10" s="34">
        <v>100</v>
      </c>
      <c r="G10" s="34">
        <v>10000</v>
      </c>
      <c r="H10" s="14" t="s">
        <v>61</v>
      </c>
    </row>
    <row r="11" spans="2:8" ht="15" customHeight="1" x14ac:dyDescent="0.2">
      <c r="B11" s="22" t="s">
        <v>62</v>
      </c>
      <c r="C11" s="23" t="s">
        <v>63</v>
      </c>
      <c r="D11" s="35">
        <v>450</v>
      </c>
      <c r="E11" s="20">
        <v>450</v>
      </c>
      <c r="F11" s="36">
        <v>50</v>
      </c>
      <c r="G11" s="36">
        <v>2000</v>
      </c>
      <c r="H11" s="27" t="s">
        <v>64</v>
      </c>
    </row>
    <row r="12" spans="2:8" ht="15" customHeight="1" x14ac:dyDescent="0.2">
      <c r="B12" s="17" t="s">
        <v>65</v>
      </c>
      <c r="C12" s="18" t="s">
        <v>63</v>
      </c>
      <c r="D12" s="28">
        <v>0.8</v>
      </c>
      <c r="E12" s="29">
        <v>0.8</v>
      </c>
      <c r="F12" s="30">
        <v>0.3</v>
      </c>
      <c r="G12" s="30">
        <v>0.95</v>
      </c>
      <c r="H12" s="14" t="s">
        <v>66</v>
      </c>
    </row>
    <row r="13" spans="2:8" ht="15" customHeight="1" x14ac:dyDescent="0.2">
      <c r="B13" s="22" t="s">
        <v>67</v>
      </c>
      <c r="C13" s="23" t="s">
        <v>63</v>
      </c>
      <c r="D13" s="35">
        <v>850000</v>
      </c>
      <c r="E13" s="20">
        <v>850000</v>
      </c>
      <c r="F13" s="36">
        <v>100000</v>
      </c>
      <c r="G13" s="36">
        <v>5000000</v>
      </c>
      <c r="H13" s="27" t="s">
        <v>68</v>
      </c>
    </row>
    <row r="14" spans="2:8" ht="15" customHeight="1" x14ac:dyDescent="0.2">
      <c r="B14" s="17" t="s">
        <v>69</v>
      </c>
      <c r="C14" s="18" t="s">
        <v>70</v>
      </c>
      <c r="D14" s="19">
        <v>12000000</v>
      </c>
      <c r="E14" s="20">
        <v>12000000</v>
      </c>
      <c r="F14" s="21">
        <v>0</v>
      </c>
      <c r="G14" s="21">
        <v>50000000</v>
      </c>
      <c r="H14" s="14" t="s">
        <v>71</v>
      </c>
    </row>
    <row r="16" spans="2:8" ht="15" customHeight="1" x14ac:dyDescent="0.2">
      <c r="B16" s="6" t="s">
        <v>72</v>
      </c>
      <c r="C16" s="6"/>
      <c r="D16" s="6"/>
      <c r="E16" s="6"/>
      <c r="F16" s="6"/>
      <c r="G16" s="6"/>
      <c r="H16" s="6"/>
    </row>
  </sheetData>
  <mergeCells count="3">
    <mergeCell ref="B2:H2"/>
    <mergeCell ref="B3:H3"/>
    <mergeCell ref="B16:H16"/>
  </mergeCells>
  <pageMargins left="0.75" right="0.75" top="1" bottom="1" header="0.511811023622047" footer="0.511811023622047"/>
  <pageSetup paperSize="9" orientation="portrait" horizontalDpi="300" verticalDpi="30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24"/>
  <sheetViews>
    <sheetView showGridLines="0" topLeftCell="A4" zoomScale="128" zoomScaleNormal="128" workbookViewId="0">
      <selection activeCell="E10" sqref="E10:E11"/>
    </sheetView>
  </sheetViews>
  <sheetFormatPr baseColWidth="10" defaultColWidth="8.6640625" defaultRowHeight="15" x14ac:dyDescent="0.2"/>
  <cols>
    <col min="1" max="1" width="3" customWidth="1"/>
    <col min="2" max="2" width="30" customWidth="1"/>
    <col min="3" max="3" width="16" customWidth="1"/>
    <col min="4" max="4" width="50" customWidth="1"/>
    <col min="5" max="6" width="16" customWidth="1"/>
  </cols>
  <sheetData>
    <row r="2" spans="2:6" ht="34.5" customHeight="1" x14ac:dyDescent="0.2">
      <c r="B2" s="7" t="s">
        <v>73</v>
      </c>
      <c r="C2" s="7"/>
      <c r="D2" s="7"/>
      <c r="E2" s="7"/>
      <c r="F2" s="7"/>
    </row>
    <row r="3" spans="2:6" ht="15" customHeight="1" x14ac:dyDescent="0.2">
      <c r="B3" s="9" t="s">
        <v>74</v>
      </c>
      <c r="C3" s="9"/>
      <c r="D3" s="9"/>
      <c r="E3" s="9"/>
      <c r="F3" s="9"/>
    </row>
    <row r="5" spans="2:6" ht="21.75" customHeight="1" x14ac:dyDescent="0.2">
      <c r="B5" s="59" t="s">
        <v>45</v>
      </c>
      <c r="C5" s="59" t="s">
        <v>46</v>
      </c>
      <c r="D5" s="59" t="s">
        <v>75</v>
      </c>
      <c r="E5" s="59" t="s">
        <v>48</v>
      </c>
      <c r="F5" s="59" t="s">
        <v>76</v>
      </c>
    </row>
    <row r="6" spans="2:6" ht="15" customHeight="1" x14ac:dyDescent="0.2">
      <c r="B6" s="60" t="s">
        <v>4</v>
      </c>
      <c r="C6" s="61" t="s">
        <v>52</v>
      </c>
      <c r="D6" s="55" t="s">
        <v>77</v>
      </c>
      <c r="E6" s="62">
        <f>'Input Variables'!E6*'Input Variables'!E7</f>
        <v>1500000</v>
      </c>
      <c r="F6" s="61" t="s">
        <v>78</v>
      </c>
    </row>
    <row r="7" spans="2:6" ht="15" customHeight="1" x14ac:dyDescent="0.2">
      <c r="B7" s="63" t="s">
        <v>7</v>
      </c>
      <c r="C7" s="64" t="s">
        <v>52</v>
      </c>
      <c r="D7" s="65" t="s">
        <v>79</v>
      </c>
      <c r="E7" s="66">
        <f>E6*12</f>
        <v>18000000</v>
      </c>
      <c r="F7" s="64" t="s">
        <v>78</v>
      </c>
    </row>
    <row r="8" spans="2:6" ht="15" customHeight="1" x14ac:dyDescent="0.2">
      <c r="B8" s="60" t="s">
        <v>80</v>
      </c>
      <c r="C8" s="61" t="s">
        <v>81</v>
      </c>
      <c r="D8" s="55" t="s">
        <v>82</v>
      </c>
      <c r="E8" s="62">
        <f>'Input Variables'!E6*'Input Variables'!E12/'Input Variables'!E9</f>
        <v>1600</v>
      </c>
      <c r="F8" s="61" t="s">
        <v>78</v>
      </c>
    </row>
    <row r="9" spans="2:6" ht="15" customHeight="1" x14ac:dyDescent="0.2">
      <c r="B9" s="63" t="s">
        <v>13</v>
      </c>
      <c r="C9" s="64" t="s">
        <v>81</v>
      </c>
      <c r="D9" s="65" t="s">
        <v>83</v>
      </c>
      <c r="E9" s="67">
        <f>E8/'Input Variables'!E11</f>
        <v>3.5555555555555554</v>
      </c>
      <c r="F9" s="64" t="s">
        <v>84</v>
      </c>
    </row>
    <row r="10" spans="2:6" ht="15" customHeight="1" x14ac:dyDescent="0.2">
      <c r="B10" s="60" t="s">
        <v>10</v>
      </c>
      <c r="C10" s="61" t="s">
        <v>81</v>
      </c>
      <c r="D10" s="55" t="s">
        <v>12</v>
      </c>
      <c r="E10" s="62">
        <f>E6*'Input Variables'!E12-'Input Variables'!E13</f>
        <v>350000</v>
      </c>
      <c r="F10" s="61" t="s">
        <v>78</v>
      </c>
    </row>
    <row r="11" spans="2:6" ht="15" customHeight="1" x14ac:dyDescent="0.2">
      <c r="B11" s="63" t="s">
        <v>85</v>
      </c>
      <c r="C11" s="64" t="s">
        <v>81</v>
      </c>
      <c r="D11" s="65" t="s">
        <v>86</v>
      </c>
      <c r="E11" s="68">
        <f>IF(E6=0,0,E10/E6)</f>
        <v>0.23333333333333334</v>
      </c>
      <c r="F11" s="64" t="s">
        <v>87</v>
      </c>
    </row>
    <row r="12" spans="2:6" ht="15" customHeight="1" x14ac:dyDescent="0.2">
      <c r="B12" s="60" t="s">
        <v>88</v>
      </c>
      <c r="C12" s="61" t="s">
        <v>81</v>
      </c>
      <c r="D12" s="55" t="s">
        <v>89</v>
      </c>
      <c r="E12" s="62">
        <f>'Input Variables'!E13-E6*'Input Variables'!E12</f>
        <v>-350000</v>
      </c>
      <c r="F12" s="61" t="s">
        <v>78</v>
      </c>
    </row>
    <row r="13" spans="2:6" ht="15" customHeight="1" x14ac:dyDescent="0.2">
      <c r="B13" s="63" t="s">
        <v>16</v>
      </c>
      <c r="C13" s="64" t="s">
        <v>81</v>
      </c>
      <c r="D13" s="65" t="s">
        <v>90</v>
      </c>
      <c r="E13" s="69">
        <f>IF(E12&lt;0,'Input Variables'!E14/ABS(E12),999)</f>
        <v>34.285714285714285</v>
      </c>
      <c r="F13" s="64" t="s">
        <v>91</v>
      </c>
    </row>
    <row r="14" spans="2:6" ht="15" customHeight="1" x14ac:dyDescent="0.2">
      <c r="B14" s="60" t="s">
        <v>19</v>
      </c>
      <c r="C14" s="61" t="s">
        <v>81</v>
      </c>
      <c r="D14" s="55" t="s">
        <v>92</v>
      </c>
      <c r="E14" s="70">
        <f>1+'Input Variables'!E8-'Input Variables'!E9*12</f>
        <v>0.64999999999999991</v>
      </c>
      <c r="F14" s="61" t="s">
        <v>87</v>
      </c>
    </row>
    <row r="15" spans="2:6" ht="15" customHeight="1" x14ac:dyDescent="0.2">
      <c r="B15" s="63" t="s">
        <v>93</v>
      </c>
      <c r="C15" s="64" t="s">
        <v>81</v>
      </c>
      <c r="D15" s="65" t="s">
        <v>94</v>
      </c>
      <c r="E15" s="69">
        <f>'Input Variables'!E11/('Input Variables'!E6*'Input Variables'!E12)</f>
        <v>5.625</v>
      </c>
      <c r="F15" s="64" t="s">
        <v>91</v>
      </c>
    </row>
    <row r="16" spans="2:6" ht="15" customHeight="1" x14ac:dyDescent="0.2">
      <c r="B16" s="60" t="s">
        <v>95</v>
      </c>
      <c r="C16" s="61" t="s">
        <v>81</v>
      </c>
      <c r="D16" s="55" t="s">
        <v>96</v>
      </c>
      <c r="E16" s="71">
        <f>IF('Input Variables'!E11*'Input Variables'!E10*3=0,0,(E6*'Input Variables'!E8*12)/('Input Variables'!E11*'Input Variables'!E10*3))</f>
        <v>2.7777777777777777</v>
      </c>
      <c r="F16" s="61" t="s">
        <v>84</v>
      </c>
    </row>
    <row r="17" spans="2:6" ht="16" x14ac:dyDescent="0.2">
      <c r="B17" s="53"/>
      <c r="C17" s="53"/>
      <c r="D17" s="53"/>
      <c r="E17" s="53"/>
      <c r="F17" s="53"/>
    </row>
    <row r="18" spans="2:6" ht="24.75" customHeight="1" x14ac:dyDescent="0.2">
      <c r="B18" s="57" t="s">
        <v>97</v>
      </c>
      <c r="C18" s="57"/>
      <c r="D18" s="57"/>
      <c r="E18" s="57"/>
      <c r="F18" s="57"/>
    </row>
    <row r="19" spans="2:6" ht="15" customHeight="1" x14ac:dyDescent="0.2">
      <c r="B19" s="60" t="s">
        <v>98</v>
      </c>
      <c r="C19" s="53"/>
      <c r="D19" s="101" t="str">
        <f>IF(E9&gt;=3,"PASS: Healthy unit economics","FAIL: Need &gt;3x")</f>
        <v>PASS: Healthy unit economics</v>
      </c>
      <c r="E19" s="102" t="str">
        <f>IF(E9&gt;=3,"✓","✗")</f>
        <v>✓</v>
      </c>
      <c r="F19" s="53"/>
    </row>
    <row r="20" spans="2:6" ht="15" customHeight="1" x14ac:dyDescent="0.2">
      <c r="B20" s="60" t="s">
        <v>99</v>
      </c>
      <c r="C20" s="53"/>
      <c r="D20" s="101" t="str">
        <f>IF('Input Variables'!E12&gt;=0.7,"PASS: SaaS margins healthy","FAIL: Low margin")</f>
        <v>PASS: SaaS margins healthy</v>
      </c>
      <c r="E20" s="102" t="str">
        <f>IF('Input Variables'!E12&gt;=0.7,"✓","✗")</f>
        <v>✓</v>
      </c>
      <c r="F20" s="53"/>
    </row>
    <row r="21" spans="2:6" ht="15" customHeight="1" x14ac:dyDescent="0.2">
      <c r="B21" s="60" t="s">
        <v>100</v>
      </c>
      <c r="C21" s="53"/>
      <c r="D21" s="101" t="str">
        <f>IF('Input Variables'!E9&lt;=0.05,"PASS: Churn under control","FAIL: High churn")</f>
        <v>PASS: Churn under control</v>
      </c>
      <c r="E21" s="102" t="str">
        <f>IF('Input Variables'!E9&lt;=0.05,"✓","✗")</f>
        <v>✓</v>
      </c>
      <c r="F21" s="53"/>
    </row>
    <row r="22" spans="2:6" ht="15" customHeight="1" x14ac:dyDescent="0.2">
      <c r="B22" s="60" t="s">
        <v>101</v>
      </c>
      <c r="C22" s="53"/>
      <c r="D22" s="101" t="str">
        <f>IF(E10&gt;0,"PASS: Profitable at EBITDA","FAIL: Need profitability path")</f>
        <v>PASS: Profitable at EBITDA</v>
      </c>
      <c r="E22" s="102" t="str">
        <f>IF(E10&gt;0,"✓","✗")</f>
        <v>✓</v>
      </c>
      <c r="F22" s="53"/>
    </row>
    <row r="23" spans="2:6" ht="15" customHeight="1" x14ac:dyDescent="0.2">
      <c r="B23" s="60" t="s">
        <v>102</v>
      </c>
      <c r="C23" s="53"/>
      <c r="D23" s="101" t="str">
        <f>IF(E13&gt;=12,"PASS: Sufficient runway","FAIL: Consider fundraising")</f>
        <v>PASS: Sufficient runway</v>
      </c>
      <c r="E23" s="102" t="str">
        <f>IF(E13&gt;=12,"✓","✗")</f>
        <v>✓</v>
      </c>
      <c r="F23" s="53"/>
    </row>
    <row r="24" spans="2:6" ht="15" customHeight="1" x14ac:dyDescent="0.2">
      <c r="B24" s="60" t="s">
        <v>103</v>
      </c>
      <c r="C24" s="53"/>
      <c r="D24" s="101" t="str">
        <f>IF(E14&gt;=1,"PASS: Net expansion revenue","FAIL: Revenue contraction risk")</f>
        <v>FAIL: Revenue contraction risk</v>
      </c>
      <c r="E24" s="102" t="str">
        <f>IF(E14&gt;=1,"✓","✗")</f>
        <v>✗</v>
      </c>
      <c r="F24" s="53"/>
    </row>
  </sheetData>
  <mergeCells count="3">
    <mergeCell ref="B2:F2"/>
    <mergeCell ref="B3:F3"/>
    <mergeCell ref="B18:F18"/>
  </mergeCells>
  <pageMargins left="0.75" right="0.75" top="1" bottom="1" header="0.511811023622047" footer="0.511811023622047"/>
  <pageSetup paperSize="9" orientation="portrait" horizontalDpi="300" verticalDpi="30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R45"/>
  <sheetViews>
    <sheetView showGridLines="0" topLeftCell="A3" zoomScale="140" zoomScaleNormal="140" workbookViewId="0">
      <selection activeCell="G15" sqref="A6:G15"/>
    </sheetView>
  </sheetViews>
  <sheetFormatPr baseColWidth="10" defaultColWidth="8.6640625" defaultRowHeight="15" x14ac:dyDescent="0.2"/>
  <cols>
    <col min="1" max="1" width="3" customWidth="1"/>
    <col min="2" max="2" width="24" customWidth="1"/>
    <col min="3" max="3" width="14" customWidth="1"/>
    <col min="4" max="10" width="16" customWidth="1"/>
  </cols>
  <sheetData>
    <row r="2" spans="2:18" ht="34.5" customHeight="1" x14ac:dyDescent="0.2">
      <c r="B2" s="7" t="s">
        <v>104</v>
      </c>
      <c r="C2" s="7"/>
      <c r="D2" s="7"/>
      <c r="E2" s="7"/>
      <c r="F2" s="7"/>
      <c r="G2" s="7"/>
      <c r="H2" s="7"/>
      <c r="I2" s="7"/>
      <c r="J2" s="7"/>
    </row>
    <row r="3" spans="2:18" ht="15" customHeight="1" x14ac:dyDescent="0.2">
      <c r="B3" s="4" t="s">
        <v>105</v>
      </c>
      <c r="C3" s="4"/>
      <c r="D3" s="4"/>
      <c r="E3" s="4"/>
      <c r="F3" s="4"/>
      <c r="G3" s="4"/>
      <c r="H3" s="4"/>
      <c r="I3" s="4"/>
      <c r="J3" s="4"/>
    </row>
    <row r="5" spans="2:18" ht="24.75" customHeight="1" x14ac:dyDescent="0.2">
      <c r="B5" s="3" t="s">
        <v>106</v>
      </c>
      <c r="C5" s="3"/>
      <c r="D5" s="3"/>
      <c r="E5" s="3"/>
      <c r="F5" s="3"/>
      <c r="G5" s="3"/>
      <c r="H5" s="3"/>
      <c r="I5" s="3"/>
      <c r="J5" s="3"/>
    </row>
    <row r="6" spans="2:18" ht="15" customHeight="1" x14ac:dyDescent="0.2">
      <c r="B6" s="59" t="s">
        <v>107</v>
      </c>
      <c r="C6" s="59" t="s">
        <v>47</v>
      </c>
      <c r="D6" s="59" t="s">
        <v>108</v>
      </c>
      <c r="E6" s="59" t="s">
        <v>109</v>
      </c>
      <c r="F6" s="59" t="s">
        <v>75</v>
      </c>
    </row>
    <row r="7" spans="2:18" ht="15" customHeight="1" x14ac:dyDescent="0.2">
      <c r="B7" s="53" t="s">
        <v>110</v>
      </c>
      <c r="C7" s="72">
        <f>'Input Variables'!E6</f>
        <v>100</v>
      </c>
      <c r="D7" s="61" t="s">
        <v>111</v>
      </c>
      <c r="E7" s="73">
        <f>'Input Variables'!E6</f>
        <v>100</v>
      </c>
      <c r="F7" s="74" t="s">
        <v>112</v>
      </c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</row>
    <row r="8" spans="2:18" ht="15" customHeight="1" x14ac:dyDescent="0.2">
      <c r="B8" s="53" t="s">
        <v>54</v>
      </c>
      <c r="C8" s="75">
        <f>'Input Variables'!E7</f>
        <v>15000</v>
      </c>
      <c r="D8" s="61" t="s">
        <v>111</v>
      </c>
      <c r="E8" s="76">
        <f>'Input Variables'!E7</f>
        <v>15000</v>
      </c>
      <c r="F8" s="74" t="s">
        <v>112</v>
      </c>
    </row>
    <row r="9" spans="2:18" ht="15" customHeight="1" x14ac:dyDescent="0.2">
      <c r="B9" s="53" t="s">
        <v>113</v>
      </c>
      <c r="C9" s="77">
        <f>'Input Variables'!E8</f>
        <v>0.25</v>
      </c>
      <c r="D9" s="61" t="s">
        <v>111</v>
      </c>
      <c r="E9" s="78">
        <f>'Input Variables'!E8</f>
        <v>0.25</v>
      </c>
      <c r="F9" s="74" t="s">
        <v>112</v>
      </c>
    </row>
    <row r="10" spans="2:18" ht="15" customHeight="1" x14ac:dyDescent="0.2">
      <c r="B10" s="53" t="s">
        <v>114</v>
      </c>
      <c r="C10" s="77">
        <f>'Input Variables'!E9</f>
        <v>0.05</v>
      </c>
      <c r="D10" s="61" t="s">
        <v>111</v>
      </c>
      <c r="E10" s="78">
        <f>'Input Variables'!E9</f>
        <v>0.05</v>
      </c>
      <c r="F10" s="74" t="s">
        <v>112</v>
      </c>
    </row>
    <row r="11" spans="2:18" ht="15" customHeight="1" x14ac:dyDescent="0.2">
      <c r="B11" s="53" t="s">
        <v>115</v>
      </c>
      <c r="C11" s="75">
        <f>'Input Variables'!E10</f>
        <v>1200</v>
      </c>
      <c r="D11" s="61" t="s">
        <v>111</v>
      </c>
      <c r="E11" s="76">
        <f>'Input Variables'!E10</f>
        <v>1200</v>
      </c>
      <c r="F11" s="74" t="s">
        <v>112</v>
      </c>
    </row>
    <row r="12" spans="2:18" ht="15" customHeight="1" x14ac:dyDescent="0.2">
      <c r="B12" s="53" t="s">
        <v>116</v>
      </c>
      <c r="C12" s="72">
        <f>'Input Variables'!E11</f>
        <v>450</v>
      </c>
      <c r="D12" s="61" t="s">
        <v>111</v>
      </c>
      <c r="E12" s="73">
        <f>'Input Variables'!E11</f>
        <v>450</v>
      </c>
      <c r="F12" s="74" t="s">
        <v>112</v>
      </c>
    </row>
    <row r="13" spans="2:18" ht="15" customHeight="1" x14ac:dyDescent="0.2">
      <c r="B13" s="53" t="s">
        <v>65</v>
      </c>
      <c r="C13" s="77">
        <f>'Input Variables'!E12</f>
        <v>0.8</v>
      </c>
      <c r="D13" s="61" t="s">
        <v>111</v>
      </c>
      <c r="E13" s="78">
        <f>'Input Variables'!E12</f>
        <v>0.8</v>
      </c>
      <c r="F13" s="74" t="s">
        <v>112</v>
      </c>
    </row>
    <row r="14" spans="2:18" ht="15" customHeight="1" x14ac:dyDescent="0.2">
      <c r="B14" s="53" t="s">
        <v>117</v>
      </c>
      <c r="C14" s="72">
        <f>'Input Variables'!E13</f>
        <v>850000</v>
      </c>
      <c r="D14" s="61" t="s">
        <v>111</v>
      </c>
      <c r="E14" s="73">
        <f>'Input Variables'!E13</f>
        <v>850000</v>
      </c>
      <c r="F14" s="74" t="s">
        <v>112</v>
      </c>
    </row>
    <row r="15" spans="2:18" ht="21.75" customHeight="1" x14ac:dyDescent="0.2">
      <c r="B15" s="79" t="s">
        <v>118</v>
      </c>
      <c r="C15" s="53"/>
      <c r="D15" s="53"/>
      <c r="E15" s="80">
        <f>E7*E8</f>
        <v>1500000</v>
      </c>
      <c r="F15" s="74" t="s">
        <v>6</v>
      </c>
      <c r="G15" s="98"/>
      <c r="H15" s="99"/>
      <c r="I15" s="99"/>
      <c r="J15" s="99"/>
      <c r="K15" s="99"/>
      <c r="L15" s="97"/>
      <c r="M15" s="97"/>
      <c r="N15" s="97"/>
      <c r="O15" s="97"/>
      <c r="P15" s="97"/>
      <c r="Q15" s="97"/>
      <c r="R15" s="97"/>
    </row>
    <row r="16" spans="2:18" ht="15" customHeight="1" x14ac:dyDescent="0.2">
      <c r="B16" s="79" t="s">
        <v>119</v>
      </c>
      <c r="C16" s="53"/>
      <c r="D16" s="53"/>
      <c r="E16" s="80">
        <f>E15*12</f>
        <v>18000000</v>
      </c>
      <c r="F16" s="74" t="s">
        <v>9</v>
      </c>
    </row>
    <row r="17" spans="2:10" ht="15" customHeight="1" x14ac:dyDescent="0.2">
      <c r="B17" s="79" t="s">
        <v>120</v>
      </c>
      <c r="C17" s="53"/>
      <c r="D17" s="53"/>
      <c r="E17" s="80">
        <f>E15*E13-'Input Variables'!E13</f>
        <v>350000</v>
      </c>
      <c r="F17" s="74" t="s">
        <v>12</v>
      </c>
    </row>
    <row r="19" spans="2:10" ht="24.75" customHeight="1" x14ac:dyDescent="0.2">
      <c r="B19" s="2" t="s">
        <v>121</v>
      </c>
      <c r="C19" s="2"/>
      <c r="D19" s="2"/>
      <c r="E19" s="2"/>
      <c r="F19" s="2"/>
      <c r="G19" s="2"/>
      <c r="H19" s="2"/>
      <c r="I19" s="2"/>
      <c r="J19" s="2"/>
    </row>
    <row r="20" spans="2:10" ht="15" customHeight="1" x14ac:dyDescent="0.2">
      <c r="B20" s="59" t="s">
        <v>107</v>
      </c>
      <c r="C20" s="59" t="s">
        <v>47</v>
      </c>
      <c r="D20" s="59" t="s">
        <v>108</v>
      </c>
      <c r="E20" s="59" t="s">
        <v>109</v>
      </c>
      <c r="F20" s="59" t="s">
        <v>75</v>
      </c>
    </row>
    <row r="21" spans="2:10" ht="15" customHeight="1" x14ac:dyDescent="0.2">
      <c r="B21" s="53" t="s">
        <v>110</v>
      </c>
      <c r="C21" s="72">
        <f>'Input Variables'!E6</f>
        <v>100</v>
      </c>
      <c r="D21" s="61" t="s">
        <v>111</v>
      </c>
      <c r="E21" s="73">
        <f>C21</f>
        <v>100</v>
      </c>
      <c r="F21" s="74" t="s">
        <v>122</v>
      </c>
    </row>
    <row r="22" spans="2:10" ht="15" customHeight="1" x14ac:dyDescent="0.2">
      <c r="B22" s="53" t="s">
        <v>54</v>
      </c>
      <c r="C22" s="75">
        <f>'Input Variables'!E7</f>
        <v>15000</v>
      </c>
      <c r="D22" s="61" t="s">
        <v>111</v>
      </c>
      <c r="E22" s="76">
        <f>C22</f>
        <v>15000</v>
      </c>
      <c r="F22" s="74" t="s">
        <v>122</v>
      </c>
    </row>
    <row r="23" spans="2:10" ht="15" customHeight="1" x14ac:dyDescent="0.2">
      <c r="B23" s="53" t="s">
        <v>113</v>
      </c>
      <c r="C23" s="77">
        <f>'Input Variables'!E8</f>
        <v>0.25</v>
      </c>
      <c r="D23" s="103">
        <v>0.15</v>
      </c>
      <c r="E23" s="78">
        <f>IF(D23&lt;&gt;"",D23,C23)</f>
        <v>0.15</v>
      </c>
      <c r="F23" s="74" t="s">
        <v>123</v>
      </c>
    </row>
    <row r="24" spans="2:10" ht="15" customHeight="1" x14ac:dyDescent="0.2">
      <c r="B24" s="53" t="s">
        <v>114</v>
      </c>
      <c r="C24" s="77">
        <f>'Input Variables'!E9</f>
        <v>0.05</v>
      </c>
      <c r="D24" s="103">
        <v>0.08</v>
      </c>
      <c r="E24" s="78">
        <f>IF(D24&lt;&gt;"",D24,C24)</f>
        <v>0.08</v>
      </c>
      <c r="F24" s="74" t="s">
        <v>123</v>
      </c>
    </row>
    <row r="25" spans="2:10" ht="15" customHeight="1" x14ac:dyDescent="0.2">
      <c r="B25" s="53" t="s">
        <v>115</v>
      </c>
      <c r="C25" s="75">
        <f>'Input Variables'!E10</f>
        <v>1200</v>
      </c>
      <c r="D25" s="61" t="s">
        <v>111</v>
      </c>
      <c r="E25" s="76">
        <f>C25</f>
        <v>1200</v>
      </c>
      <c r="F25" s="74" t="s">
        <v>122</v>
      </c>
    </row>
    <row r="26" spans="2:10" ht="15" customHeight="1" x14ac:dyDescent="0.2">
      <c r="B26" s="53" t="s">
        <v>116</v>
      </c>
      <c r="C26" s="72">
        <f>'Input Variables'!E11</f>
        <v>450</v>
      </c>
      <c r="D26" s="61" t="s">
        <v>111</v>
      </c>
      <c r="E26" s="73">
        <f>C26</f>
        <v>450</v>
      </c>
      <c r="F26" s="74" t="s">
        <v>122</v>
      </c>
    </row>
    <row r="27" spans="2:10" ht="15" customHeight="1" x14ac:dyDescent="0.2">
      <c r="B27" s="53" t="s">
        <v>65</v>
      </c>
      <c r="C27" s="77">
        <f>'Input Variables'!E12</f>
        <v>0.8</v>
      </c>
      <c r="D27" s="61" t="s">
        <v>111</v>
      </c>
      <c r="E27" s="78">
        <f>C27</f>
        <v>0.8</v>
      </c>
      <c r="F27" s="74" t="s">
        <v>122</v>
      </c>
    </row>
    <row r="28" spans="2:10" ht="15" customHeight="1" x14ac:dyDescent="0.2">
      <c r="B28" s="53" t="s">
        <v>117</v>
      </c>
      <c r="C28" s="72">
        <f>'Input Variables'!E13</f>
        <v>850000</v>
      </c>
      <c r="D28" s="61" t="s">
        <v>111</v>
      </c>
      <c r="E28" s="73">
        <f>C28</f>
        <v>850000</v>
      </c>
      <c r="F28" s="74" t="s">
        <v>122</v>
      </c>
    </row>
    <row r="29" spans="2:10" ht="21.75" customHeight="1" x14ac:dyDescent="0.2">
      <c r="B29" s="79" t="s">
        <v>118</v>
      </c>
      <c r="C29" s="53"/>
      <c r="D29" s="53"/>
      <c r="E29" s="81">
        <f>E21*E22</f>
        <v>1500000</v>
      </c>
      <c r="F29" s="74" t="s">
        <v>6</v>
      </c>
    </row>
    <row r="30" spans="2:10" ht="15" customHeight="1" x14ac:dyDescent="0.2">
      <c r="B30" s="79" t="s">
        <v>119</v>
      </c>
      <c r="C30" s="53"/>
      <c r="D30" s="53"/>
      <c r="E30" s="81">
        <f>E29*12</f>
        <v>18000000</v>
      </c>
      <c r="F30" s="74" t="s">
        <v>9</v>
      </c>
    </row>
    <row r="31" spans="2:10" ht="15" customHeight="1" x14ac:dyDescent="0.2">
      <c r="B31" s="79" t="s">
        <v>120</v>
      </c>
      <c r="C31" s="53"/>
      <c r="D31" s="53"/>
      <c r="E31" s="81">
        <f>E29*E27-'Input Variables'!E13</f>
        <v>350000</v>
      </c>
      <c r="F31" s="74" t="s">
        <v>12</v>
      </c>
    </row>
    <row r="33" spans="2:10" ht="24.75" customHeight="1" x14ac:dyDescent="0.2">
      <c r="B33" s="1" t="s">
        <v>124</v>
      </c>
      <c r="C33" s="1"/>
      <c r="D33" s="1"/>
      <c r="E33" s="1"/>
      <c r="F33" s="1"/>
      <c r="G33" s="1"/>
      <c r="H33" s="1"/>
      <c r="I33" s="1"/>
      <c r="J33" s="1"/>
    </row>
    <row r="34" spans="2:10" ht="15" customHeight="1" x14ac:dyDescent="0.2">
      <c r="B34" s="59" t="s">
        <v>107</v>
      </c>
      <c r="C34" s="59" t="s">
        <v>47</v>
      </c>
      <c r="D34" s="59" t="s">
        <v>108</v>
      </c>
      <c r="E34" s="59" t="s">
        <v>109</v>
      </c>
      <c r="F34" s="59" t="s">
        <v>75</v>
      </c>
    </row>
    <row r="35" spans="2:10" ht="15" customHeight="1" x14ac:dyDescent="0.2">
      <c r="B35" s="53" t="s">
        <v>110</v>
      </c>
      <c r="C35" s="72">
        <f>'Input Variables'!E6</f>
        <v>100</v>
      </c>
      <c r="D35" s="61" t="s">
        <v>111</v>
      </c>
      <c r="E35" s="73">
        <f>C35</f>
        <v>100</v>
      </c>
      <c r="F35" s="74" t="s">
        <v>122</v>
      </c>
    </row>
    <row r="36" spans="2:10" ht="15" customHeight="1" x14ac:dyDescent="0.2">
      <c r="B36" s="53" t="s">
        <v>54</v>
      </c>
      <c r="C36" s="75">
        <f>'Input Variables'!E7</f>
        <v>15000</v>
      </c>
      <c r="D36" s="61" t="s">
        <v>111</v>
      </c>
      <c r="E36" s="76">
        <f>C36</f>
        <v>15000</v>
      </c>
      <c r="F36" s="74" t="s">
        <v>122</v>
      </c>
    </row>
    <row r="37" spans="2:10" ht="15" customHeight="1" x14ac:dyDescent="0.2">
      <c r="B37" s="53" t="s">
        <v>113</v>
      </c>
      <c r="C37" s="77">
        <f>'Input Variables'!E8</f>
        <v>0.25</v>
      </c>
      <c r="D37" s="104">
        <v>0.45</v>
      </c>
      <c r="E37" s="78">
        <f>IF(D37&lt;&gt;"",D37,C37)</f>
        <v>0.45</v>
      </c>
      <c r="F37" s="74" t="s">
        <v>123</v>
      </c>
    </row>
    <row r="38" spans="2:10" ht="15" customHeight="1" x14ac:dyDescent="0.2">
      <c r="B38" s="53" t="s">
        <v>114</v>
      </c>
      <c r="C38" s="77">
        <f>'Input Variables'!E9</f>
        <v>0.05</v>
      </c>
      <c r="D38" s="61" t="s">
        <v>111</v>
      </c>
      <c r="E38" s="78">
        <f>C38</f>
        <v>0.05</v>
      </c>
      <c r="F38" s="74" t="s">
        <v>122</v>
      </c>
    </row>
    <row r="39" spans="2:10" ht="15" customHeight="1" x14ac:dyDescent="0.2">
      <c r="B39" s="53" t="s">
        <v>115</v>
      </c>
      <c r="C39" s="75">
        <f>'Input Variables'!E10</f>
        <v>1200</v>
      </c>
      <c r="D39" s="82">
        <v>5000</v>
      </c>
      <c r="E39" s="76">
        <f>IF(D39&lt;&gt;"",D39,C39)</f>
        <v>5000</v>
      </c>
      <c r="F39" s="74" t="s">
        <v>123</v>
      </c>
    </row>
    <row r="40" spans="2:10" ht="15" customHeight="1" x14ac:dyDescent="0.2">
      <c r="B40" s="53" t="s">
        <v>116</v>
      </c>
      <c r="C40" s="72">
        <f>'Input Variables'!E11</f>
        <v>450</v>
      </c>
      <c r="D40" s="61" t="s">
        <v>111</v>
      </c>
      <c r="E40" s="73">
        <f>C40</f>
        <v>450</v>
      </c>
      <c r="F40" s="74" t="s">
        <v>122</v>
      </c>
    </row>
    <row r="41" spans="2:10" ht="15" customHeight="1" x14ac:dyDescent="0.2">
      <c r="B41" s="53" t="s">
        <v>65</v>
      </c>
      <c r="C41" s="77">
        <f>'Input Variables'!E12</f>
        <v>0.8</v>
      </c>
      <c r="D41" s="61" t="s">
        <v>111</v>
      </c>
      <c r="E41" s="78">
        <f>C41</f>
        <v>0.8</v>
      </c>
      <c r="F41" s="74" t="s">
        <v>122</v>
      </c>
    </row>
    <row r="42" spans="2:10" ht="15" customHeight="1" x14ac:dyDescent="0.2">
      <c r="B42" s="53" t="s">
        <v>117</v>
      </c>
      <c r="C42" s="72">
        <f>'Input Variables'!E13</f>
        <v>850000</v>
      </c>
      <c r="D42" s="61" t="s">
        <v>111</v>
      </c>
      <c r="E42" s="73">
        <f>C42</f>
        <v>850000</v>
      </c>
      <c r="F42" s="74" t="s">
        <v>122</v>
      </c>
    </row>
    <row r="43" spans="2:10" ht="21.75" customHeight="1" x14ac:dyDescent="0.2">
      <c r="B43" s="79" t="s">
        <v>118</v>
      </c>
      <c r="C43" s="53"/>
      <c r="D43" s="53"/>
      <c r="E43" s="83">
        <f>E35*E36</f>
        <v>1500000</v>
      </c>
      <c r="F43" s="74" t="s">
        <v>6</v>
      </c>
    </row>
    <row r="44" spans="2:10" ht="15" customHeight="1" x14ac:dyDescent="0.2">
      <c r="B44" s="79" t="s">
        <v>119</v>
      </c>
      <c r="C44" s="53"/>
      <c r="D44" s="53"/>
      <c r="E44" s="83">
        <f>E43*12</f>
        <v>18000000</v>
      </c>
      <c r="F44" s="74" t="s">
        <v>9</v>
      </c>
    </row>
    <row r="45" spans="2:10" ht="15" customHeight="1" x14ac:dyDescent="0.2">
      <c r="B45" s="79" t="s">
        <v>120</v>
      </c>
      <c r="C45" s="53"/>
      <c r="D45" s="53"/>
      <c r="E45" s="83">
        <f>E43*E41-'Input Variables'!E13</f>
        <v>350000</v>
      </c>
      <c r="F45" s="74" t="s">
        <v>12</v>
      </c>
    </row>
  </sheetData>
  <mergeCells count="5">
    <mergeCell ref="B2:J2"/>
    <mergeCell ref="B3:J3"/>
    <mergeCell ref="B5:J5"/>
    <mergeCell ref="B19:J19"/>
    <mergeCell ref="B33:J33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N20"/>
  <sheetViews>
    <sheetView showGridLines="0" topLeftCell="B1" zoomScale="140" zoomScaleNormal="140" workbookViewId="0">
      <selection activeCell="I30" sqref="I30"/>
    </sheetView>
  </sheetViews>
  <sheetFormatPr baseColWidth="10" defaultColWidth="8.6640625" defaultRowHeight="15" x14ac:dyDescent="0.2"/>
  <cols>
    <col min="1" max="1" width="3" customWidth="1"/>
    <col min="2" max="2" width="13.1640625" customWidth="1"/>
    <col min="3" max="11" width="10.33203125" customWidth="1"/>
    <col min="12" max="12" width="11.1640625" customWidth="1"/>
    <col min="13" max="13" width="11.83203125" customWidth="1"/>
    <col min="14" max="14" width="16.1640625" customWidth="1"/>
  </cols>
  <sheetData>
    <row r="2" spans="2:14" ht="34.5" customHeight="1" x14ac:dyDescent="0.2">
      <c r="B2" s="7" t="s">
        <v>125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2:14" ht="15" customHeight="1" x14ac:dyDescent="0.2">
      <c r="B3" s="4" t="s">
        <v>126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5" spans="2:14" ht="15" customHeight="1" x14ac:dyDescent="0.2">
      <c r="B5" s="16" t="s">
        <v>127</v>
      </c>
      <c r="C5" s="40">
        <v>0</v>
      </c>
      <c r="D5" s="40">
        <v>0.05</v>
      </c>
      <c r="E5" s="40">
        <v>0.1</v>
      </c>
      <c r="F5" s="40">
        <v>0.15</v>
      </c>
      <c r="G5" s="40">
        <v>0.2</v>
      </c>
      <c r="H5" s="40">
        <v>0.25</v>
      </c>
      <c r="I5" s="40">
        <v>0.3</v>
      </c>
      <c r="J5" s="40">
        <v>0.35</v>
      </c>
      <c r="K5" s="40">
        <v>0.4</v>
      </c>
      <c r="L5" s="40">
        <v>0.45</v>
      </c>
      <c r="M5" s="40">
        <v>0.5</v>
      </c>
    </row>
    <row r="6" spans="2:14" ht="15" customHeight="1" x14ac:dyDescent="0.2">
      <c r="B6" s="84">
        <v>0.01</v>
      </c>
      <c r="C6" s="37">
        <f>'Input Variables'!E6*'Input Variables'!E7*(1+C5-B6*12)*'Input Variables'!E12-'Input Variables'!E13</f>
        <v>206000</v>
      </c>
      <c r="D6" s="38">
        <f>'Input Variables'!E6*'Input Variables'!E7*(1+D5-B6*12)*'Input Variables'!E12-'Input Variables'!E13</f>
        <v>266000</v>
      </c>
      <c r="E6" s="37">
        <f>'Input Variables'!E6*'Input Variables'!E7*(1+E5-B6*12)*'Input Variables'!E12-'Input Variables'!E13</f>
        <v>326000.00000000023</v>
      </c>
      <c r="F6" s="38">
        <f>'Input Variables'!E6*'Input Variables'!E7*(1+F5-B6*12)*'Input Variables'!E12-'Input Variables'!E13</f>
        <v>385999.99999999977</v>
      </c>
      <c r="G6" s="37">
        <f>'Input Variables'!E6*'Input Variables'!E7*(1+G5-B6*12)*'Input Variables'!E12-'Input Variables'!E13</f>
        <v>446000</v>
      </c>
      <c r="H6" s="38">
        <f>'Input Variables'!E6*'Input Variables'!E7*(1+H5-B6*12)*'Input Variables'!E12-'Input Variables'!E13</f>
        <v>506000</v>
      </c>
      <c r="I6" s="37">
        <f>'Input Variables'!E6*'Input Variables'!E7*(1+I5-B6*12)*'Input Variables'!E12-'Input Variables'!E13</f>
        <v>566000.00000000023</v>
      </c>
      <c r="J6" s="38">
        <f>'Input Variables'!E6*'Input Variables'!E7*(1+J5-B6*12)*'Input Variables'!E12-'Input Variables'!E13</f>
        <v>626000</v>
      </c>
      <c r="K6" s="37">
        <f>'Input Variables'!E6*'Input Variables'!E7*(1+K5-B6*12)*'Input Variables'!E12-'Input Variables'!E13</f>
        <v>686000</v>
      </c>
      <c r="L6" s="38">
        <f>'Input Variables'!E6*'Input Variables'!E7*(1+L5-B6*12)*'Input Variables'!E12-'Input Variables'!E13</f>
        <v>746000</v>
      </c>
      <c r="M6" s="37">
        <f>'Input Variables'!E6*'Input Variables'!E7*(1+M5-B6*12)*'Input Variables'!E12-'Input Variables'!E13</f>
        <v>806000</v>
      </c>
    </row>
    <row r="7" spans="2:14" ht="15" customHeight="1" x14ac:dyDescent="0.2">
      <c r="B7" s="84">
        <v>0.02</v>
      </c>
      <c r="C7" s="38">
        <f>'Input Variables'!E6*'Input Variables'!E7*(1+C5-B7*12)*'Input Variables'!E12-'Input Variables'!E13</f>
        <v>62000</v>
      </c>
      <c r="D7" s="37">
        <f>'Input Variables'!E6*'Input Variables'!E7*(1+D5-B7*12)*'Input Variables'!E12-'Input Variables'!E13</f>
        <v>122000</v>
      </c>
      <c r="E7" s="38">
        <f>'Input Variables'!E6*'Input Variables'!E7*(1+E5-B7*12)*'Input Variables'!E12-'Input Variables'!E13</f>
        <v>182000.00000000023</v>
      </c>
      <c r="F7" s="37">
        <f>'Input Variables'!E6*'Input Variables'!E7*(1+F5-B7*12)*'Input Variables'!E12-'Input Variables'!E13</f>
        <v>241999.99999999977</v>
      </c>
      <c r="G7" s="38">
        <f>'Input Variables'!E6*'Input Variables'!E7*(1+G5-B7*12)*'Input Variables'!E12-'Input Variables'!E13</f>
        <v>302000</v>
      </c>
      <c r="H7" s="37">
        <f>'Input Variables'!E6*'Input Variables'!E7*(1+H5-B7*12)*'Input Variables'!E12-'Input Variables'!E13</f>
        <v>362000</v>
      </c>
      <c r="I7" s="38">
        <f>'Input Variables'!E6*'Input Variables'!E7*(1+I5-B7*12)*'Input Variables'!E12-'Input Variables'!E13</f>
        <v>422000</v>
      </c>
      <c r="J7" s="37">
        <f>'Input Variables'!E6*'Input Variables'!E7*(1+J5-B7*12)*'Input Variables'!E12-'Input Variables'!E13</f>
        <v>482000.00000000023</v>
      </c>
      <c r="K7" s="38">
        <f>'Input Variables'!E6*'Input Variables'!E7*(1+K5-B7*12)*'Input Variables'!E12-'Input Variables'!E13</f>
        <v>542000</v>
      </c>
      <c r="L7" s="37">
        <f>'Input Variables'!E6*'Input Variables'!E7*(1+L5-B7*12)*'Input Variables'!E12-'Input Variables'!E13</f>
        <v>602000</v>
      </c>
      <c r="M7" s="38">
        <f>'Input Variables'!E6*'Input Variables'!E7*(1+M5-B7*12)*'Input Variables'!E12-'Input Variables'!E13</f>
        <v>662000</v>
      </c>
    </row>
    <row r="8" spans="2:14" ht="15" customHeight="1" x14ac:dyDescent="0.2">
      <c r="B8" s="84">
        <v>0.03</v>
      </c>
      <c r="C8" s="37">
        <f>'Input Variables'!E6*'Input Variables'!E7*(1+C5-B8*12)*'Input Variables'!E12-'Input Variables'!E13</f>
        <v>-82000</v>
      </c>
      <c r="D8" s="38">
        <f>'Input Variables'!E6*'Input Variables'!E7*(1+D5-B8*12)*'Input Variables'!E12-'Input Variables'!E13</f>
        <v>-21999.999999999884</v>
      </c>
      <c r="E8" s="37">
        <f>'Input Variables'!E6*'Input Variables'!E7*(1+E5-B8*12)*'Input Variables'!E12-'Input Variables'!E13</f>
        <v>38000.000000000233</v>
      </c>
      <c r="F8" s="38">
        <f>'Input Variables'!E6*'Input Variables'!E7*(1+F5-B8*12)*'Input Variables'!E12-'Input Variables'!E13</f>
        <v>98000</v>
      </c>
      <c r="G8" s="37">
        <f>'Input Variables'!E6*'Input Variables'!E7*(1+G5-B8*12)*'Input Variables'!E12-'Input Variables'!E13</f>
        <v>158000</v>
      </c>
      <c r="H8" s="38">
        <f>'Input Variables'!E6*'Input Variables'!E7*(1+H5-B8*12)*'Input Variables'!E12-'Input Variables'!E13</f>
        <v>218000</v>
      </c>
      <c r="I8" s="37">
        <f>'Input Variables'!E6*'Input Variables'!E7*(1+I5-B8*12)*'Input Variables'!E12-'Input Variables'!E13</f>
        <v>278000</v>
      </c>
      <c r="J8" s="38">
        <f>'Input Variables'!E6*'Input Variables'!E7*(1+J5-B8*12)*'Input Variables'!E12-'Input Variables'!E13</f>
        <v>338000.00000000023</v>
      </c>
      <c r="K8" s="37">
        <f>'Input Variables'!E6*'Input Variables'!E7*(1+K5-B8*12)*'Input Variables'!E12-'Input Variables'!E13</f>
        <v>398000</v>
      </c>
      <c r="L8" s="38">
        <f>'Input Variables'!E6*'Input Variables'!E7*(1+L5-B8*12)*'Input Variables'!E12-'Input Variables'!E13</f>
        <v>458000</v>
      </c>
      <c r="M8" s="37">
        <f>'Input Variables'!E6*'Input Variables'!E7*(1+M5-B8*12)*'Input Variables'!E12-'Input Variables'!E13</f>
        <v>518000.00000000023</v>
      </c>
    </row>
    <row r="9" spans="2:14" ht="15" customHeight="1" x14ac:dyDescent="0.2">
      <c r="B9" s="84">
        <v>0.04</v>
      </c>
      <c r="C9" s="38">
        <f>'Input Variables'!E6*'Input Variables'!E7*(1+C5-B9*12)*'Input Variables'!E12-'Input Variables'!E13</f>
        <v>-226000</v>
      </c>
      <c r="D9" s="37">
        <f>'Input Variables'!E6*'Input Variables'!E7*(1+D5-B9*12)*'Input Variables'!E12-'Input Variables'!E13</f>
        <v>-165999.99999999988</v>
      </c>
      <c r="E9" s="38">
        <f>'Input Variables'!E6*'Input Variables'!E7*(1+E5-B9*12)*'Input Variables'!E12-'Input Variables'!E13</f>
        <v>-105999.99999999988</v>
      </c>
      <c r="F9" s="37">
        <f>'Input Variables'!E6*'Input Variables'!E7*(1+F5-B9*12)*'Input Variables'!E12-'Input Variables'!E13</f>
        <v>-46000</v>
      </c>
      <c r="G9" s="38">
        <f>'Input Variables'!E6*'Input Variables'!E7*(1+G5-B9*12)*'Input Variables'!E12-'Input Variables'!E13</f>
        <v>14000</v>
      </c>
      <c r="H9" s="37">
        <f>'Input Variables'!E6*'Input Variables'!E7*(1+H5-B9*12)*'Input Variables'!E12-'Input Variables'!E13</f>
        <v>74000</v>
      </c>
      <c r="I9" s="38">
        <f>'Input Variables'!E6*'Input Variables'!E7*(1+I5-B9*12)*'Input Variables'!E12-'Input Variables'!E13</f>
        <v>134000</v>
      </c>
      <c r="J9" s="37">
        <f>'Input Variables'!E6*'Input Variables'!E7*(1+J5-B9*12)*'Input Variables'!E12-'Input Variables'!E13</f>
        <v>194000.00000000023</v>
      </c>
      <c r="K9" s="38">
        <f>'Input Variables'!E6*'Input Variables'!E7*(1+K5-B9*12)*'Input Variables'!E12-'Input Variables'!E13</f>
        <v>254000</v>
      </c>
      <c r="L9" s="37">
        <f>'Input Variables'!E6*'Input Variables'!E7*(1+L5-B9*12)*'Input Variables'!E12-'Input Variables'!E13</f>
        <v>314000</v>
      </c>
      <c r="M9" s="38">
        <f>'Input Variables'!E6*'Input Variables'!E7*(1+M5-B9*12)*'Input Variables'!E12-'Input Variables'!E13</f>
        <v>374000</v>
      </c>
    </row>
    <row r="10" spans="2:14" ht="15" customHeight="1" x14ac:dyDescent="0.2">
      <c r="B10" s="84">
        <v>0.05</v>
      </c>
      <c r="C10" s="37">
        <f>'Input Variables'!E6*'Input Variables'!E7*(1+C5-B10*12)*'Input Variables'!E12-'Input Variables'!E13</f>
        <v>-370000.00000000006</v>
      </c>
      <c r="D10" s="38">
        <f>'Input Variables'!E6*'Input Variables'!E7*(1+D5-B10*12)*'Input Variables'!E12-'Input Variables'!E13</f>
        <v>-310000.00000000012</v>
      </c>
      <c r="E10" s="37">
        <f>'Input Variables'!E6*'Input Variables'!E7*(1+E5-B10*12)*'Input Variables'!E12-'Input Variables'!E13</f>
        <v>-250000</v>
      </c>
      <c r="F10" s="38">
        <f>'Input Variables'!E6*'Input Variables'!E7*(1+F5-B10*12)*'Input Variables'!E12-'Input Variables'!E13</f>
        <v>-190000.00000000012</v>
      </c>
      <c r="G10" s="37">
        <f>'Input Variables'!E6*'Input Variables'!E7*(1+G5-B10*12)*'Input Variables'!E12-'Input Variables'!E13</f>
        <v>-130000.00000000012</v>
      </c>
      <c r="H10" s="38">
        <f>'Input Variables'!E6*'Input Variables'!E7*(1+H5-B10*12)*'Input Variables'!E12-'Input Variables'!E13</f>
        <v>-70000</v>
      </c>
      <c r="I10" s="37">
        <f>'Input Variables'!E6*'Input Variables'!E7*(1+I5-B10*12)*'Input Variables'!E12-'Input Variables'!E13</f>
        <v>-10000</v>
      </c>
      <c r="J10" s="38">
        <f>'Input Variables'!E6*'Input Variables'!E7*(1+J5-B10*12)*'Input Variables'!E12-'Input Variables'!E13</f>
        <v>50000</v>
      </c>
      <c r="K10" s="37">
        <f>'Input Variables'!E6*'Input Variables'!E7*(1+K5-B10*12)*'Input Variables'!E12-'Input Variables'!E13</f>
        <v>109999.99999999988</v>
      </c>
      <c r="L10" s="38">
        <f>'Input Variables'!E6*'Input Variables'!E7*(1+L5-B10*12)*'Input Variables'!E12-'Input Variables'!E13</f>
        <v>169999.99999999988</v>
      </c>
      <c r="M10" s="37">
        <f>'Input Variables'!E6*'Input Variables'!E7*(1+M5-B10*12)*'Input Variables'!E12-'Input Variables'!E13</f>
        <v>229999.99999999977</v>
      </c>
    </row>
    <row r="11" spans="2:14" ht="15" customHeight="1" x14ac:dyDescent="0.2">
      <c r="B11" s="84">
        <v>0.06</v>
      </c>
      <c r="C11" s="38">
        <f>'Input Variables'!E6*'Input Variables'!E7*(1+C5-B11*12)*'Input Variables'!E12-'Input Variables'!E13</f>
        <v>-513999.99999999994</v>
      </c>
      <c r="D11" s="37">
        <f>'Input Variables'!E6*'Input Variables'!E7*(1+D5-B11*12)*'Input Variables'!E12-'Input Variables'!E13</f>
        <v>-453999.99999999988</v>
      </c>
      <c r="E11" s="38">
        <f>'Input Variables'!E6*'Input Variables'!E7*(1+E5-B11*12)*'Input Variables'!E12-'Input Variables'!E13</f>
        <v>-393999.99999999988</v>
      </c>
      <c r="F11" s="37">
        <f>'Input Variables'!E6*'Input Variables'!E7*(1+F5-B11*12)*'Input Variables'!E12-'Input Variables'!E13</f>
        <v>-334000.00000000006</v>
      </c>
      <c r="G11" s="38">
        <f>'Input Variables'!E6*'Input Variables'!E7*(1+G5-B11*12)*'Input Variables'!E12-'Input Variables'!E13</f>
        <v>-274000</v>
      </c>
      <c r="H11" s="37">
        <f>'Input Variables'!E6*'Input Variables'!E7*(1+H5-B11*12)*'Input Variables'!E12-'Input Variables'!E13</f>
        <v>-214000</v>
      </c>
      <c r="I11" s="38">
        <f>'Input Variables'!E6*'Input Variables'!E7*(1+I5-B11*12)*'Input Variables'!E12-'Input Variables'!E13</f>
        <v>-153999.99999999988</v>
      </c>
      <c r="J11" s="37">
        <f>'Input Variables'!E6*'Input Variables'!E7*(1+J5-B11*12)*'Input Variables'!E12-'Input Variables'!E13</f>
        <v>-93999.999999999884</v>
      </c>
      <c r="K11" s="38">
        <f>'Input Variables'!E6*'Input Variables'!E7*(1+K5-B11*12)*'Input Variables'!E12-'Input Variables'!E13</f>
        <v>-34000</v>
      </c>
      <c r="L11" s="37">
        <f>'Input Variables'!E6*'Input Variables'!E7*(1+L5-B11*12)*'Input Variables'!E12-'Input Variables'!E13</f>
        <v>26000</v>
      </c>
      <c r="M11" s="38">
        <f>'Input Variables'!E6*'Input Variables'!E7*(1+M5-B11*12)*'Input Variables'!E12-'Input Variables'!E13</f>
        <v>86000</v>
      </c>
    </row>
    <row r="12" spans="2:14" ht="15" customHeight="1" x14ac:dyDescent="0.2">
      <c r="B12" s="84">
        <v>7.0000000000000007E-2</v>
      </c>
      <c r="C12" s="37">
        <f>'Input Variables'!E6*'Input Variables'!E7*(1+C5-B12*12)*'Input Variables'!E12-'Input Variables'!E13</f>
        <v>-658000.00000000012</v>
      </c>
      <c r="D12" s="38">
        <f>'Input Variables'!E6*'Input Variables'!E7*(1+D5-B12*12)*'Input Variables'!E12-'Input Variables'!E13</f>
        <v>-598000</v>
      </c>
      <c r="E12" s="37">
        <f>'Input Variables'!E6*'Input Variables'!E7*(1+E5-B12*12)*'Input Variables'!E12-'Input Variables'!E13</f>
        <v>-538000</v>
      </c>
      <c r="F12" s="38">
        <f>'Input Variables'!E6*'Input Variables'!E7*(1+F5-B12*12)*'Input Variables'!E12-'Input Variables'!E13</f>
        <v>-478000.00000000017</v>
      </c>
      <c r="G12" s="37">
        <f>'Input Variables'!E6*'Input Variables'!E7*(1+G5-B12*12)*'Input Variables'!E12-'Input Variables'!E13</f>
        <v>-418000.00000000017</v>
      </c>
      <c r="H12" s="38">
        <f>'Input Variables'!E6*'Input Variables'!E7*(1+H5-B12*12)*'Input Variables'!E12-'Input Variables'!E13</f>
        <v>-358000.00000000006</v>
      </c>
      <c r="I12" s="37">
        <f>'Input Variables'!E6*'Input Variables'!E7*(1+I5-B12*12)*'Input Variables'!E12-'Input Variables'!E13</f>
        <v>-298000</v>
      </c>
      <c r="J12" s="38">
        <f>'Input Variables'!E6*'Input Variables'!E7*(1+J5-B12*12)*'Input Variables'!E12-'Input Variables'!E13</f>
        <v>-238000</v>
      </c>
      <c r="K12" s="37">
        <f>'Input Variables'!E6*'Input Variables'!E7*(1+K5-B12*12)*'Input Variables'!E12-'Input Variables'!E13</f>
        <v>-178000.00000000012</v>
      </c>
      <c r="L12" s="38">
        <f>'Input Variables'!E6*'Input Variables'!E7*(1+L5-B12*12)*'Input Variables'!E12-'Input Variables'!E13</f>
        <v>-118000.00000000012</v>
      </c>
      <c r="M12" s="37">
        <f>'Input Variables'!E6*'Input Variables'!E7*(1+M5-B12*12)*'Input Variables'!E12-'Input Variables'!E13</f>
        <v>-58000</v>
      </c>
    </row>
    <row r="13" spans="2:14" ht="15" customHeight="1" x14ac:dyDescent="0.2">
      <c r="B13" s="84">
        <v>0.08</v>
      </c>
      <c r="C13" s="38">
        <f>'Input Variables'!E6*'Input Variables'!E7*(1+C5-B13*12)*'Input Variables'!E12-'Input Variables'!E13</f>
        <v>-802000</v>
      </c>
      <c r="D13" s="37">
        <f>'Input Variables'!E6*'Input Variables'!E7*(1+D5-B13*12)*'Input Variables'!E12-'Input Variables'!E13</f>
        <v>-741999.99999999988</v>
      </c>
      <c r="E13" s="38">
        <f>'Input Variables'!E6*'Input Variables'!E7*(1+E5-B13*12)*'Input Variables'!E12-'Input Variables'!E13</f>
        <v>-681999.99999999988</v>
      </c>
      <c r="F13" s="37">
        <f>'Input Variables'!E6*'Input Variables'!E7*(1+F5-B13*12)*'Input Variables'!E12-'Input Variables'!E13</f>
        <v>-622000</v>
      </c>
      <c r="G13" s="38">
        <f>'Input Variables'!E6*'Input Variables'!E7*(1+G5-B13*12)*'Input Variables'!E12-'Input Variables'!E13</f>
        <v>-562000</v>
      </c>
      <c r="H13" s="37">
        <f>'Input Variables'!E6*'Input Variables'!E7*(1+H5-B13*12)*'Input Variables'!E12-'Input Variables'!E13</f>
        <v>-501999.99999999994</v>
      </c>
      <c r="I13" s="38">
        <f>'Input Variables'!E6*'Input Variables'!E7*(1+I5-B13*12)*'Input Variables'!E12-'Input Variables'!E13</f>
        <v>-441999.99999999988</v>
      </c>
      <c r="J13" s="37">
        <f>'Input Variables'!E6*'Input Variables'!E7*(1+J5-B13*12)*'Input Variables'!E12-'Input Variables'!E13</f>
        <v>-381999.99999999977</v>
      </c>
      <c r="K13" s="38">
        <f>'Input Variables'!E6*'Input Variables'!E7*(1+K5-B13*12)*'Input Variables'!E12-'Input Variables'!E13</f>
        <v>-322000.00000000012</v>
      </c>
      <c r="L13" s="37">
        <f>'Input Variables'!E6*'Input Variables'!E7*(1+L5-B13*12)*'Input Variables'!E12-'Input Variables'!E13</f>
        <v>-262000</v>
      </c>
      <c r="M13" s="38">
        <f>'Input Variables'!E6*'Input Variables'!E7*(1+M5-B13*12)*'Input Variables'!E12-'Input Variables'!E13</f>
        <v>-202000</v>
      </c>
    </row>
    <row r="14" spans="2:14" ht="15" customHeight="1" x14ac:dyDescent="0.2">
      <c r="B14" s="84">
        <v>0.09</v>
      </c>
      <c r="C14" s="37">
        <f>'Input Variables'!E6*'Input Variables'!E7*(1+C5-B14*12)*'Input Variables'!E12-'Input Variables'!E13</f>
        <v>-946000.00000000012</v>
      </c>
      <c r="D14" s="38">
        <f>'Input Variables'!E6*'Input Variables'!E7*(1+D5-B14*12)*'Input Variables'!E12-'Input Variables'!E13</f>
        <v>-886000</v>
      </c>
      <c r="E14" s="37">
        <f>'Input Variables'!E6*'Input Variables'!E7*(1+E5-B14*12)*'Input Variables'!E12-'Input Variables'!E13</f>
        <v>-826000</v>
      </c>
      <c r="F14" s="38">
        <f>'Input Variables'!E6*'Input Variables'!E7*(1+F5-B14*12)*'Input Variables'!E12-'Input Variables'!E13</f>
        <v>-766000.00000000023</v>
      </c>
      <c r="G14" s="37">
        <f>'Input Variables'!E6*'Input Variables'!E7*(1+G5-B14*12)*'Input Variables'!E12-'Input Variables'!E13</f>
        <v>-706000.00000000012</v>
      </c>
      <c r="H14" s="38">
        <f>'Input Variables'!E6*'Input Variables'!E7*(1+H5-B14*12)*'Input Variables'!E12-'Input Variables'!E13</f>
        <v>-646000.00000000012</v>
      </c>
      <c r="I14" s="37">
        <f>'Input Variables'!E6*'Input Variables'!E7*(1+I5-B14*12)*'Input Variables'!E12-'Input Variables'!E13</f>
        <v>-586000</v>
      </c>
      <c r="J14" s="38">
        <f>'Input Variables'!E6*'Input Variables'!E7*(1+J5-B14*12)*'Input Variables'!E12-'Input Variables'!E13</f>
        <v>-526000</v>
      </c>
      <c r="K14" s="37">
        <f>'Input Variables'!E6*'Input Variables'!E7*(1+K5-B14*12)*'Input Variables'!E12-'Input Variables'!E13</f>
        <v>-466000.00000000017</v>
      </c>
      <c r="L14" s="38">
        <f>'Input Variables'!E6*'Input Variables'!E7*(1+L5-B14*12)*'Input Variables'!E12-'Input Variables'!E13</f>
        <v>-406000.00000000006</v>
      </c>
      <c r="M14" s="37">
        <f>'Input Variables'!E6*'Input Variables'!E7*(1+M5-B14*12)*'Input Variables'!E12-'Input Variables'!E13</f>
        <v>-346000.00000000006</v>
      </c>
    </row>
    <row r="15" spans="2:14" ht="15" customHeight="1" x14ac:dyDescent="0.2">
      <c r="B15" s="84">
        <v>0.1</v>
      </c>
      <c r="C15" s="38">
        <f>'Input Variables'!E6*'Input Variables'!E7*(1+C5-B15*12)*'Input Variables'!E12-'Input Variables'!E13</f>
        <v>-1090000.0000000002</v>
      </c>
      <c r="D15" s="37">
        <f>'Input Variables'!E6*'Input Variables'!E7*(1+D5-B15*12)*'Input Variables'!E12-'Input Variables'!E13</f>
        <v>-1030000.0000000002</v>
      </c>
      <c r="E15" s="38">
        <f>'Input Variables'!E6*'Input Variables'!E7*(1+E5-B15*12)*'Input Variables'!E12-'Input Variables'!E13</f>
        <v>-970000.00000000012</v>
      </c>
      <c r="F15" s="37">
        <f>'Input Variables'!E6*'Input Variables'!E7*(1+F5-B15*12)*'Input Variables'!E12-'Input Variables'!E13</f>
        <v>-910000.00000000035</v>
      </c>
      <c r="G15" s="38">
        <f>'Input Variables'!E6*'Input Variables'!E7*(1+G5-B15*12)*'Input Variables'!E12-'Input Variables'!E13</f>
        <v>-850000.00000000023</v>
      </c>
      <c r="H15" s="37">
        <f>'Input Variables'!E6*'Input Variables'!E7*(1+H5-B15*12)*'Input Variables'!E12-'Input Variables'!E13</f>
        <v>-790000.00000000023</v>
      </c>
      <c r="I15" s="38">
        <f>'Input Variables'!E6*'Input Variables'!E7*(1+I5-B15*12)*'Input Variables'!E12-'Input Variables'!E13</f>
        <v>-730000.00000000012</v>
      </c>
      <c r="J15" s="37">
        <f>'Input Variables'!E6*'Input Variables'!E7*(1+J5-B15*12)*'Input Variables'!E12-'Input Variables'!E13</f>
        <v>-670000.00000000012</v>
      </c>
      <c r="K15" s="38">
        <f>'Input Variables'!E6*'Input Variables'!E7*(1+K5-B15*12)*'Input Variables'!E12-'Input Variables'!E13</f>
        <v>-610000.00000000035</v>
      </c>
      <c r="L15" s="37">
        <f>'Input Variables'!E6*'Input Variables'!E7*(1+L5-B15*12)*'Input Variables'!E12-'Input Variables'!E13</f>
        <v>-550000.00000000023</v>
      </c>
      <c r="M15" s="38">
        <f>'Input Variables'!E6*'Input Variables'!E7*(1+M5-B15*12)*'Input Variables'!E12-'Input Variables'!E13</f>
        <v>-490000.00000000023</v>
      </c>
    </row>
    <row r="17" spans="2:14" ht="15" customHeight="1" x14ac:dyDescent="0.2">
      <c r="B17" s="6" t="s">
        <v>128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9" spans="2:14" ht="15" customHeight="1" x14ac:dyDescent="0.2">
      <c r="B19" s="5" t="s">
        <v>129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2:14" ht="15" customHeight="1" x14ac:dyDescent="0.2">
      <c r="B20" s="100" t="s">
        <v>130</v>
      </c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</row>
  </sheetData>
  <mergeCells count="4">
    <mergeCell ref="B2:N2"/>
    <mergeCell ref="B3:N3"/>
    <mergeCell ref="B17:N17"/>
    <mergeCell ref="B19:N19"/>
  </mergeCells>
  <conditionalFormatting sqref="C6:N15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G31"/>
  <sheetViews>
    <sheetView showGridLines="0" tabSelected="1" topLeftCell="A2" zoomScale="110" zoomScaleNormal="110" workbookViewId="0">
      <selection activeCell="G15" sqref="G15"/>
    </sheetView>
  </sheetViews>
  <sheetFormatPr baseColWidth="10" defaultColWidth="8.6640625" defaultRowHeight="15" x14ac:dyDescent="0.2"/>
  <cols>
    <col min="1" max="1" width="3" customWidth="1"/>
    <col min="2" max="2" width="22" customWidth="1"/>
    <col min="3" max="3" width="18" customWidth="1"/>
    <col min="4" max="4" width="22" customWidth="1"/>
    <col min="5" max="5" width="18" customWidth="1"/>
    <col min="6" max="6" width="22" customWidth="1"/>
    <col min="7" max="7" width="18" customWidth="1"/>
  </cols>
  <sheetData>
    <row r="2" spans="2:7" ht="34.5" customHeight="1" x14ac:dyDescent="0.2">
      <c r="B2" s="7" t="s">
        <v>131</v>
      </c>
      <c r="C2" s="7"/>
      <c r="D2" s="7"/>
      <c r="E2" s="7"/>
      <c r="F2" s="7"/>
      <c r="G2" s="7"/>
    </row>
    <row r="3" spans="2:7" ht="15" customHeight="1" x14ac:dyDescent="0.2">
      <c r="B3" s="4" t="s">
        <v>132</v>
      </c>
      <c r="C3" s="4"/>
      <c r="D3" s="4"/>
      <c r="E3" s="4"/>
      <c r="F3" s="4"/>
      <c r="G3" s="4"/>
    </row>
    <row r="5" spans="2:7" ht="30" customHeight="1" x14ac:dyDescent="0.2">
      <c r="B5" s="12" t="s">
        <v>133</v>
      </c>
      <c r="C5" s="42">
        <f>'Calculated Variables'!E6</f>
        <v>1500000</v>
      </c>
      <c r="D5" s="12" t="s">
        <v>134</v>
      </c>
      <c r="E5" s="42">
        <f>'Calculated Variables'!E7</f>
        <v>18000000</v>
      </c>
      <c r="F5" s="12" t="s">
        <v>54</v>
      </c>
      <c r="G5" s="43">
        <f>'Input Variables'!E7</f>
        <v>15000</v>
      </c>
    </row>
    <row r="6" spans="2:7" ht="16" x14ac:dyDescent="0.2">
      <c r="B6" s="39"/>
      <c r="D6" s="53"/>
      <c r="F6" s="53"/>
    </row>
    <row r="7" spans="2:7" ht="30" customHeight="1" x14ac:dyDescent="0.2">
      <c r="B7" s="12" t="s">
        <v>10</v>
      </c>
      <c r="C7" s="42">
        <f>'Calculated Variables'!E10</f>
        <v>350000</v>
      </c>
      <c r="D7" s="12" t="s">
        <v>85</v>
      </c>
      <c r="E7" s="44">
        <f>'Calculated Variables'!E11</f>
        <v>0.23333333333333334</v>
      </c>
      <c r="F7" s="12" t="s">
        <v>13</v>
      </c>
      <c r="G7" s="45">
        <f>'Calculated Variables'!E9</f>
        <v>3.5555555555555554</v>
      </c>
    </row>
    <row r="8" spans="2:7" ht="16" x14ac:dyDescent="0.2">
      <c r="B8" s="39"/>
      <c r="D8" s="53"/>
      <c r="F8" s="53"/>
    </row>
    <row r="9" spans="2:7" ht="30" customHeight="1" x14ac:dyDescent="0.2">
      <c r="B9" s="12" t="s">
        <v>135</v>
      </c>
      <c r="C9" s="46">
        <f>'Input Variables'!E9</f>
        <v>0.05</v>
      </c>
      <c r="D9" s="12" t="s">
        <v>16</v>
      </c>
      <c r="E9" s="47">
        <f>'Calculated Variables'!E13</f>
        <v>34.285714285714285</v>
      </c>
      <c r="F9" s="12" t="s">
        <v>19</v>
      </c>
      <c r="G9" s="44">
        <f>'Calculated Variables'!E14</f>
        <v>0.64999999999999991</v>
      </c>
    </row>
    <row r="11" spans="2:7" ht="15" customHeight="1" x14ac:dyDescent="0.2">
      <c r="B11" s="56" t="s">
        <v>136</v>
      </c>
      <c r="C11" s="53"/>
      <c r="D11" s="53"/>
      <c r="E11" s="53"/>
    </row>
    <row r="12" spans="2:7" ht="15" customHeight="1" x14ac:dyDescent="0.2">
      <c r="B12" s="79" t="s">
        <v>137</v>
      </c>
      <c r="C12" s="85" t="s">
        <v>138</v>
      </c>
      <c r="D12" s="53"/>
      <c r="E12" s="53"/>
    </row>
    <row r="13" spans="2:7" ht="15" customHeight="1" x14ac:dyDescent="0.2">
      <c r="B13" s="53" t="s">
        <v>139</v>
      </c>
      <c r="C13" s="86">
        <f>'Calculated Variables'!E6</f>
        <v>1500000</v>
      </c>
      <c r="D13" s="53"/>
      <c r="E13" s="53"/>
    </row>
    <row r="14" spans="2:7" ht="15" customHeight="1" x14ac:dyDescent="0.2">
      <c r="B14" s="53" t="s">
        <v>140</v>
      </c>
      <c r="C14" s="86">
        <f>'Calculated Variables'!E7</f>
        <v>18000000</v>
      </c>
      <c r="D14" s="53"/>
      <c r="E14" s="53"/>
    </row>
    <row r="15" spans="2:7" ht="15" customHeight="1" x14ac:dyDescent="0.2">
      <c r="B15" s="53" t="s">
        <v>141</v>
      </c>
      <c r="C15" s="86">
        <f>'Calculated Variables'!E8</f>
        <v>1600</v>
      </c>
      <c r="D15" s="53"/>
      <c r="E15" s="53"/>
    </row>
    <row r="16" spans="2:7" ht="15" customHeight="1" x14ac:dyDescent="0.2">
      <c r="B16" s="53" t="s">
        <v>116</v>
      </c>
      <c r="C16" s="86">
        <f>'Input Variables'!E11</f>
        <v>450</v>
      </c>
      <c r="D16" s="53"/>
      <c r="E16" s="53"/>
    </row>
    <row r="17" spans="2:5" ht="16" x14ac:dyDescent="0.2">
      <c r="B17" s="53"/>
      <c r="C17" s="53"/>
      <c r="D17" s="53"/>
      <c r="E17" s="53"/>
    </row>
    <row r="18" spans="2:5" ht="15" customHeight="1" x14ac:dyDescent="0.2">
      <c r="B18" s="56" t="s">
        <v>142</v>
      </c>
      <c r="C18" s="53"/>
      <c r="D18" s="53"/>
      <c r="E18" s="53"/>
    </row>
    <row r="19" spans="2:5" ht="15" customHeight="1" x14ac:dyDescent="0.2">
      <c r="B19" s="87" t="s">
        <v>143</v>
      </c>
      <c r="C19" s="87" t="s">
        <v>140</v>
      </c>
      <c r="D19" s="87" t="s">
        <v>10</v>
      </c>
      <c r="E19" s="53"/>
    </row>
    <row r="20" spans="2:5" ht="15" customHeight="1" x14ac:dyDescent="0.2">
      <c r="B20" s="53" t="s">
        <v>144</v>
      </c>
      <c r="C20" s="86">
        <f>'Calculated Variables'!E7</f>
        <v>18000000</v>
      </c>
      <c r="D20" s="86">
        <f>'Calculated Variables'!E10</f>
        <v>350000</v>
      </c>
      <c r="E20" s="53"/>
    </row>
    <row r="21" spans="2:5" ht="15" customHeight="1" x14ac:dyDescent="0.2">
      <c r="B21" s="53" t="s">
        <v>145</v>
      </c>
      <c r="C21" s="86">
        <f>'Calculated Variables'!E7*(1-Scenarios!E23)</f>
        <v>15300000</v>
      </c>
      <c r="D21" s="86">
        <f>'Calculated Variables'!E10*0.6</f>
        <v>210000</v>
      </c>
      <c r="E21" s="53"/>
    </row>
    <row r="22" spans="2:5" ht="15" customHeight="1" x14ac:dyDescent="0.2">
      <c r="B22" s="53" t="s">
        <v>146</v>
      </c>
      <c r="C22" s="86">
        <f>'Calculated Variables'!E7*1.35</f>
        <v>24300000</v>
      </c>
      <c r="D22" s="86">
        <f>'Calculated Variables'!E10*1.8</f>
        <v>630000</v>
      </c>
      <c r="E22" s="53"/>
    </row>
    <row r="23" spans="2:5" ht="16" x14ac:dyDescent="0.2">
      <c r="B23" s="53"/>
      <c r="C23" s="53"/>
      <c r="D23" s="53"/>
      <c r="E23" s="53"/>
    </row>
    <row r="24" spans="2:5" ht="16" x14ac:dyDescent="0.2">
      <c r="B24" s="53"/>
      <c r="C24" s="53"/>
      <c r="D24" s="53"/>
      <c r="E24" s="53"/>
    </row>
    <row r="25" spans="2:5" ht="15" customHeight="1" x14ac:dyDescent="0.2">
      <c r="B25" s="56" t="s">
        <v>147</v>
      </c>
      <c r="C25" s="53"/>
      <c r="D25" s="53"/>
      <c r="E25" s="53"/>
    </row>
    <row r="26" spans="2:5" ht="15" customHeight="1" x14ac:dyDescent="0.2">
      <c r="B26" s="87" t="s">
        <v>148</v>
      </c>
      <c r="C26" s="87" t="s">
        <v>149</v>
      </c>
      <c r="D26" s="87" t="s">
        <v>150</v>
      </c>
      <c r="E26" s="87" t="s">
        <v>151</v>
      </c>
    </row>
    <row r="27" spans="2:5" ht="15" customHeight="1" x14ac:dyDescent="0.2">
      <c r="B27" s="53" t="s">
        <v>13</v>
      </c>
      <c r="C27" s="88">
        <f>'Calculated Variables'!E9</f>
        <v>3.5555555555555554</v>
      </c>
      <c r="D27" s="61" t="s">
        <v>152</v>
      </c>
      <c r="E27" s="102" t="str">
        <f>IF(C27&gt;=3,"✓ PASS","✗ FAIL")</f>
        <v>✓ PASS</v>
      </c>
    </row>
    <row r="28" spans="2:5" ht="15" customHeight="1" x14ac:dyDescent="0.2">
      <c r="B28" s="53" t="s">
        <v>65</v>
      </c>
      <c r="C28" s="89">
        <f>'Input Variables'!E12</f>
        <v>0.8</v>
      </c>
      <c r="D28" s="61" t="s">
        <v>153</v>
      </c>
      <c r="E28" s="102" t="str">
        <f>IF(C28&gt;=0.7,"✓ PASS","✗ FAIL")</f>
        <v>✓ PASS</v>
      </c>
    </row>
    <row r="29" spans="2:5" ht="15" customHeight="1" x14ac:dyDescent="0.2">
      <c r="B29" s="53" t="s">
        <v>135</v>
      </c>
      <c r="C29" s="89">
        <f>'Input Variables'!E9</f>
        <v>0.05</v>
      </c>
      <c r="D29" s="61" t="s">
        <v>154</v>
      </c>
      <c r="E29" s="102" t="str">
        <f>IF(C29&lt;=0.05,"✓ PASS","✗ FAIL")</f>
        <v>✓ PASS</v>
      </c>
    </row>
    <row r="30" spans="2:5" ht="15" customHeight="1" x14ac:dyDescent="0.2">
      <c r="B30" s="53" t="s">
        <v>10</v>
      </c>
      <c r="C30" s="88">
        <f>'Calculated Variables'!E10</f>
        <v>350000</v>
      </c>
      <c r="D30" s="61" t="s">
        <v>155</v>
      </c>
      <c r="E30" s="102" t="str">
        <f>IF(C30&gt;0,"✓ PASS","✗ FAIL")</f>
        <v>✓ PASS</v>
      </c>
    </row>
    <row r="31" spans="2:5" ht="16" x14ac:dyDescent="0.2">
      <c r="B31" s="53"/>
      <c r="C31" s="53"/>
      <c r="D31" s="53"/>
      <c r="E31" s="53"/>
    </row>
  </sheetData>
  <mergeCells count="2">
    <mergeCell ref="B2:G2"/>
    <mergeCell ref="B3:G3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E43"/>
  <sheetViews>
    <sheetView showGridLines="0" topLeftCell="A10" zoomScale="120" zoomScaleNormal="120" workbookViewId="0">
      <selection activeCell="D32" sqref="D32"/>
    </sheetView>
  </sheetViews>
  <sheetFormatPr baseColWidth="10" defaultColWidth="8.6640625" defaultRowHeight="15" x14ac:dyDescent="0.2"/>
  <cols>
    <col min="1" max="1" width="3" customWidth="1"/>
    <col min="2" max="2" width="26" customWidth="1"/>
    <col min="3" max="3" width="48.83203125" customWidth="1"/>
    <col min="4" max="4" width="50" customWidth="1"/>
    <col min="5" max="5" width="20" customWidth="1"/>
  </cols>
  <sheetData>
    <row r="2" spans="2:5" ht="34.5" customHeight="1" x14ac:dyDescent="0.2">
      <c r="B2" s="7" t="s">
        <v>156</v>
      </c>
      <c r="C2" s="7"/>
      <c r="D2" s="7"/>
      <c r="E2" s="7"/>
    </row>
    <row r="3" spans="2:5" ht="15" customHeight="1" x14ac:dyDescent="0.2">
      <c r="B3" s="4" t="s">
        <v>157</v>
      </c>
      <c r="C3" s="4"/>
      <c r="D3" s="4"/>
      <c r="E3" s="4"/>
    </row>
    <row r="5" spans="2:5" ht="15" customHeight="1" x14ac:dyDescent="0.2">
      <c r="B5" s="13" t="s">
        <v>158</v>
      </c>
    </row>
    <row r="6" spans="2:5" ht="15" customHeight="1" x14ac:dyDescent="0.2">
      <c r="B6" s="48" t="s">
        <v>159</v>
      </c>
      <c r="C6" s="15" t="s">
        <v>160</v>
      </c>
    </row>
    <row r="7" spans="2:5" ht="15" customHeight="1" x14ac:dyDescent="0.2">
      <c r="B7" s="49" t="s">
        <v>161</v>
      </c>
      <c r="C7" s="15" t="s">
        <v>162</v>
      </c>
    </row>
    <row r="8" spans="2:5" ht="15" customHeight="1" x14ac:dyDescent="0.2">
      <c r="B8" s="50" t="s">
        <v>163</v>
      </c>
      <c r="C8" s="15" t="s">
        <v>164</v>
      </c>
    </row>
    <row r="9" spans="2:5" ht="15" customHeight="1" x14ac:dyDescent="0.2">
      <c r="B9" s="51" t="s">
        <v>165</v>
      </c>
      <c r="C9" s="15" t="s">
        <v>166</v>
      </c>
    </row>
    <row r="11" spans="2:5" ht="21.75" customHeight="1" x14ac:dyDescent="0.2">
      <c r="B11" s="16" t="s">
        <v>107</v>
      </c>
      <c r="C11" s="16" t="s">
        <v>167</v>
      </c>
      <c r="D11" s="16" t="s">
        <v>168</v>
      </c>
      <c r="E11" s="16" t="s">
        <v>169</v>
      </c>
    </row>
    <row r="12" spans="2:5" ht="15" customHeight="1" x14ac:dyDescent="0.2">
      <c r="B12" s="90" t="s">
        <v>139</v>
      </c>
      <c r="C12" s="91" t="s">
        <v>170</v>
      </c>
      <c r="D12" s="60" t="s">
        <v>171</v>
      </c>
      <c r="E12" s="41" t="s">
        <v>172</v>
      </c>
    </row>
    <row r="13" spans="2:5" ht="15" customHeight="1" x14ac:dyDescent="0.2">
      <c r="B13" s="92" t="s">
        <v>140</v>
      </c>
      <c r="C13" s="91" t="s">
        <v>173</v>
      </c>
      <c r="D13" s="63" t="s">
        <v>174</v>
      </c>
      <c r="E13" s="52" t="s">
        <v>139</v>
      </c>
    </row>
    <row r="14" spans="2:5" ht="15" customHeight="1" x14ac:dyDescent="0.2">
      <c r="B14" s="90" t="s">
        <v>141</v>
      </c>
      <c r="C14" s="91" t="s">
        <v>175</v>
      </c>
      <c r="D14" s="60" t="s">
        <v>176</v>
      </c>
      <c r="E14" s="41" t="s">
        <v>177</v>
      </c>
    </row>
    <row r="15" spans="2:5" ht="15" customHeight="1" x14ac:dyDescent="0.2">
      <c r="B15" s="92" t="s">
        <v>178</v>
      </c>
      <c r="C15" s="91" t="s">
        <v>179</v>
      </c>
      <c r="D15" s="63" t="s">
        <v>180</v>
      </c>
      <c r="E15" s="52" t="s">
        <v>181</v>
      </c>
    </row>
    <row r="16" spans="2:5" ht="15" customHeight="1" x14ac:dyDescent="0.2">
      <c r="B16" s="90" t="s">
        <v>10</v>
      </c>
      <c r="C16" s="91" t="s">
        <v>182</v>
      </c>
      <c r="D16" s="60" t="s">
        <v>183</v>
      </c>
      <c r="E16" s="41" t="s">
        <v>184</v>
      </c>
    </row>
    <row r="17" spans="2:5" ht="15" customHeight="1" x14ac:dyDescent="0.2">
      <c r="B17" s="92" t="s">
        <v>85</v>
      </c>
      <c r="C17" s="91" t="s">
        <v>185</v>
      </c>
      <c r="D17" s="63" t="s">
        <v>186</v>
      </c>
      <c r="E17" s="52" t="s">
        <v>187</v>
      </c>
    </row>
    <row r="18" spans="2:5" ht="15" customHeight="1" x14ac:dyDescent="0.2">
      <c r="B18" s="90" t="s">
        <v>188</v>
      </c>
      <c r="C18" s="91" t="s">
        <v>189</v>
      </c>
      <c r="D18" s="60" t="s">
        <v>190</v>
      </c>
      <c r="E18" s="41" t="s">
        <v>191</v>
      </c>
    </row>
    <row r="19" spans="2:5" ht="15" customHeight="1" x14ac:dyDescent="0.2">
      <c r="B19" s="92" t="s">
        <v>16</v>
      </c>
      <c r="C19" s="91" t="s">
        <v>192</v>
      </c>
      <c r="D19" s="63" t="s">
        <v>193</v>
      </c>
      <c r="E19" s="52" t="s">
        <v>194</v>
      </c>
    </row>
    <row r="20" spans="2:5" ht="15" customHeight="1" x14ac:dyDescent="0.2">
      <c r="B20" s="90" t="s">
        <v>195</v>
      </c>
      <c r="C20" s="91" t="s">
        <v>196</v>
      </c>
      <c r="D20" s="60" t="s">
        <v>197</v>
      </c>
      <c r="E20" s="41" t="s">
        <v>198</v>
      </c>
    </row>
    <row r="21" spans="2:5" ht="15" customHeight="1" x14ac:dyDescent="0.2">
      <c r="B21" s="92" t="s">
        <v>199</v>
      </c>
      <c r="C21" s="91" t="s">
        <v>200</v>
      </c>
      <c r="D21" s="63" t="s">
        <v>201</v>
      </c>
      <c r="E21" s="52" t="s">
        <v>202</v>
      </c>
    </row>
    <row r="22" spans="2:5" ht="15" customHeight="1" x14ac:dyDescent="0.2">
      <c r="B22" s="90" t="s">
        <v>203</v>
      </c>
      <c r="C22" s="91" t="s">
        <v>204</v>
      </c>
      <c r="D22" s="60" t="s">
        <v>205</v>
      </c>
      <c r="E22" s="41" t="s">
        <v>206</v>
      </c>
    </row>
    <row r="24" spans="2:5" ht="15" customHeight="1" x14ac:dyDescent="0.2">
      <c r="B24" s="56" t="s">
        <v>207</v>
      </c>
      <c r="C24" s="53"/>
      <c r="D24" s="53"/>
    </row>
    <row r="25" spans="2:5" ht="15" customHeight="1" x14ac:dyDescent="0.2">
      <c r="B25" s="59" t="s">
        <v>137</v>
      </c>
      <c r="C25" s="59" t="s">
        <v>150</v>
      </c>
      <c r="D25" s="59" t="s">
        <v>208</v>
      </c>
    </row>
    <row r="26" spans="2:5" ht="15" customHeight="1" x14ac:dyDescent="0.2">
      <c r="B26" s="53" t="s">
        <v>13</v>
      </c>
      <c r="C26" s="93" t="s">
        <v>209</v>
      </c>
      <c r="D26" s="39" t="s">
        <v>210</v>
      </c>
    </row>
    <row r="27" spans="2:5" ht="15" customHeight="1" x14ac:dyDescent="0.2">
      <c r="B27" s="94" t="s">
        <v>65</v>
      </c>
      <c r="C27" s="95" t="s">
        <v>211</v>
      </c>
      <c r="D27" s="96" t="s">
        <v>212</v>
      </c>
    </row>
    <row r="28" spans="2:5" ht="15" customHeight="1" x14ac:dyDescent="0.2">
      <c r="B28" s="53" t="s">
        <v>135</v>
      </c>
      <c r="C28" s="93" t="s">
        <v>213</v>
      </c>
      <c r="D28" s="39" t="s">
        <v>214</v>
      </c>
    </row>
    <row r="29" spans="2:5" ht="15" customHeight="1" x14ac:dyDescent="0.2">
      <c r="B29" s="94" t="s">
        <v>215</v>
      </c>
      <c r="C29" s="95" t="s">
        <v>216</v>
      </c>
      <c r="D29" s="96" t="s">
        <v>217</v>
      </c>
    </row>
    <row r="30" spans="2:5" ht="15" customHeight="1" x14ac:dyDescent="0.2">
      <c r="B30" s="53" t="s">
        <v>195</v>
      </c>
      <c r="C30" s="93" t="s">
        <v>218</v>
      </c>
      <c r="D30" s="39" t="s">
        <v>219</v>
      </c>
    </row>
    <row r="31" spans="2:5" ht="15" customHeight="1" x14ac:dyDescent="0.2">
      <c r="B31" s="94" t="s">
        <v>199</v>
      </c>
      <c r="C31" s="95" t="s">
        <v>220</v>
      </c>
      <c r="D31" s="96" t="s">
        <v>221</v>
      </c>
    </row>
    <row r="32" spans="2:5" ht="15" customHeight="1" x14ac:dyDescent="0.2">
      <c r="B32" s="53" t="s">
        <v>203</v>
      </c>
      <c r="C32" s="93" t="s">
        <v>222</v>
      </c>
      <c r="D32" s="39" t="s">
        <v>223</v>
      </c>
    </row>
    <row r="33" spans="2:5" ht="15" customHeight="1" x14ac:dyDescent="0.2">
      <c r="B33" s="94" t="s">
        <v>224</v>
      </c>
      <c r="C33" s="95" t="s">
        <v>225</v>
      </c>
      <c r="D33" s="96" t="s">
        <v>226</v>
      </c>
    </row>
    <row r="35" spans="2:5" ht="15" customHeight="1" x14ac:dyDescent="0.2">
      <c r="B35" s="56" t="s">
        <v>227</v>
      </c>
      <c r="C35" s="53"/>
      <c r="D35" s="53"/>
      <c r="E35" s="53"/>
    </row>
    <row r="36" spans="2:5" ht="15" customHeight="1" x14ac:dyDescent="0.2">
      <c r="B36" s="4" t="s">
        <v>228</v>
      </c>
      <c r="C36" s="4"/>
      <c r="D36" s="4"/>
      <c r="E36" s="4"/>
    </row>
    <row r="37" spans="2:5" ht="15" customHeight="1" x14ac:dyDescent="0.2">
      <c r="B37" s="4" t="s">
        <v>229</v>
      </c>
      <c r="C37" s="4"/>
      <c r="D37" s="4"/>
      <c r="E37" s="4"/>
    </row>
    <row r="38" spans="2:5" ht="15" customHeight="1" x14ac:dyDescent="0.2">
      <c r="B38" s="4" t="s">
        <v>230</v>
      </c>
      <c r="C38" s="4"/>
      <c r="D38" s="4"/>
      <c r="E38" s="4"/>
    </row>
    <row r="39" spans="2:5" ht="15" customHeight="1" x14ac:dyDescent="0.2">
      <c r="B39" s="4" t="s">
        <v>231</v>
      </c>
      <c r="C39" s="4"/>
      <c r="D39" s="4"/>
      <c r="E39" s="4"/>
    </row>
    <row r="40" spans="2:5" ht="15" customHeight="1" x14ac:dyDescent="0.2">
      <c r="B40" s="4" t="s">
        <v>232</v>
      </c>
      <c r="C40" s="4"/>
      <c r="D40" s="4"/>
      <c r="E40" s="4"/>
    </row>
    <row r="41" spans="2:5" ht="15" customHeight="1" x14ac:dyDescent="0.2">
      <c r="B41" s="4" t="s">
        <v>233</v>
      </c>
      <c r="C41" s="4"/>
      <c r="D41" s="4"/>
      <c r="E41" s="4"/>
    </row>
    <row r="42" spans="2:5" ht="15" customHeight="1" x14ac:dyDescent="0.2">
      <c r="B42" s="4" t="s">
        <v>234</v>
      </c>
      <c r="C42" s="4"/>
      <c r="D42" s="4"/>
      <c r="E42" s="4"/>
    </row>
    <row r="43" spans="2:5" ht="15" customHeight="1" x14ac:dyDescent="0.2">
      <c r="B43" s="4" t="s">
        <v>235</v>
      </c>
      <c r="C43" s="4"/>
      <c r="D43" s="4"/>
      <c r="E43" s="4"/>
    </row>
  </sheetData>
  <mergeCells count="10">
    <mergeCell ref="B39:E39"/>
    <mergeCell ref="B40:E40"/>
    <mergeCell ref="B41:E41"/>
    <mergeCell ref="B42:E42"/>
    <mergeCell ref="B43:E43"/>
    <mergeCell ref="B2:E2"/>
    <mergeCell ref="B3:E3"/>
    <mergeCell ref="B36:E36"/>
    <mergeCell ref="B37:E37"/>
    <mergeCell ref="B38:E38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Cover</vt:lpstr>
      <vt:lpstr>Input Variables</vt:lpstr>
      <vt:lpstr>Calculated Variables</vt:lpstr>
      <vt:lpstr>Scenarios</vt:lpstr>
      <vt:lpstr>Sensitivity Table</vt:lpstr>
      <vt:lpstr>Dashboard</vt:lpstr>
      <vt:lpstr>Formula Guide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Raymond Seah</cp:lastModifiedBy>
  <cp:revision>3</cp:revision>
  <dcterms:created xsi:type="dcterms:W3CDTF">2026-04-27T11:49:35Z</dcterms:created>
  <dcterms:modified xsi:type="dcterms:W3CDTF">2026-04-27T13:58:02Z</dcterms:modified>
  <dc:language>en-US</dc:language>
</cp:coreProperties>
</file>